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2620" tabRatio="286" activeTab="0"/>
  </bookViews>
  <sheets>
    <sheet name="net CV in GJ" sheetId="1" r:id="rId1"/>
    <sheet name="net CV in MWh" sheetId="2" r:id="rId2"/>
    <sheet name="Convert DB to WB" sheetId="3" r:id="rId3"/>
  </sheets>
  <definedNames/>
  <calcPr fullCalcOnLoad="1"/>
</workbook>
</file>

<file path=xl/sharedStrings.xml><?xml version="1.0" encoding="utf-8"?>
<sst xmlns="http://schemas.openxmlformats.org/spreadsheetml/2006/main" count="197" uniqueCount="84">
  <si>
    <t>Softwood energy density GJ/m3</t>
  </si>
  <si>
    <t>Softwood chip energy density GJ/m3</t>
  </si>
  <si>
    <t>Hardwood log (stacked) energy density GJ/m3</t>
  </si>
  <si>
    <t>Softwood log (stacked) energy density GJ/m3</t>
  </si>
  <si>
    <t>Softwood energy density MWh/m3</t>
  </si>
  <si>
    <t>Softwood chip energy density MWh/m3</t>
  </si>
  <si>
    <t>Hardwood log (stacked) energy density MWh/m3</t>
  </si>
  <si>
    <t>Softwood log (stacked) energy density MWh/m3</t>
  </si>
  <si>
    <t>tonne</t>
  </si>
  <si>
    <t>m3</t>
  </si>
  <si>
    <t>Wood chips @ 30% MC</t>
  </si>
  <si>
    <t>ha</t>
  </si>
  <si>
    <t>Mixed hard &amp; softwood</t>
  </si>
  <si>
    <t>SRC @ 30% MC</t>
  </si>
  <si>
    <t>Forest residues @ 30% MC</t>
  </si>
  <si>
    <t>Oven dry wood chips</t>
  </si>
  <si>
    <t>Land required</t>
  </si>
  <si>
    <t>GJ/t</t>
  </si>
  <si>
    <t>GJ/m3</t>
  </si>
  <si>
    <t>MWh/t</t>
  </si>
  <si>
    <t>MWh/m3</t>
  </si>
  <si>
    <t>kWh</t>
  </si>
  <si>
    <t>Forestry residues output per ha /odt</t>
  </si>
  <si>
    <t>oven dry tonne</t>
  </si>
  <si>
    <t>Forestry residues output per ha @ 30% MC /t</t>
  </si>
  <si>
    <t>tonne @30%</t>
  </si>
  <si>
    <t>SRC output per ha /odt</t>
  </si>
  <si>
    <t>Miscanthus output per ha /odt</t>
  </si>
  <si>
    <t>SRC output per ha @ 20% MC /t</t>
  </si>
  <si>
    <t>Heat demand pa /kWh</t>
  </si>
  <si>
    <t>Miscanthus @ 25% MC</t>
  </si>
  <si>
    <t>tonne @25%</t>
  </si>
  <si>
    <t>Miscanthus output per ha @ 25% MC /t</t>
  </si>
  <si>
    <t>kg/m3</t>
  </si>
  <si>
    <t>Softwood density kg/m3</t>
  </si>
  <si>
    <t>Hardwood density kg/m3</t>
  </si>
  <si>
    <t>%</t>
  </si>
  <si>
    <t>Solid wood to chip conversion factor</t>
  </si>
  <si>
    <t>ratio</t>
  </si>
  <si>
    <t>Wood Net CV GJ/t</t>
  </si>
  <si>
    <t>Wheat straw Net CV GJ/t</t>
  </si>
  <si>
    <t>Miscanthus Net CV GJ/t</t>
  </si>
  <si>
    <t>Wood Net CV MWh/t</t>
  </si>
  <si>
    <t>Miscanthus Net CV MWh/t</t>
  </si>
  <si>
    <t>Wheat straw Net CV MWh/t</t>
  </si>
  <si>
    <r>
      <t>Hardwood energy density MWh/m</t>
    </r>
    <r>
      <rPr>
        <b/>
        <vertAlign val="superscript"/>
        <sz val="10"/>
        <rFont val="Arial"/>
        <family val="2"/>
      </rPr>
      <t>3</t>
    </r>
  </si>
  <si>
    <r>
      <t>Hardwood chip energy density MWh/m</t>
    </r>
    <r>
      <rPr>
        <b/>
        <vertAlign val="superscript"/>
        <sz val="10"/>
        <rFont val="Arial"/>
        <family val="2"/>
      </rPr>
      <t>3</t>
    </r>
  </si>
  <si>
    <r>
      <t>Hardwood energy density GJ/m</t>
    </r>
    <r>
      <rPr>
        <b/>
        <vertAlign val="superscript"/>
        <sz val="10"/>
        <rFont val="Arial"/>
        <family val="2"/>
      </rPr>
      <t>3</t>
    </r>
  </si>
  <si>
    <r>
      <t>Hardwood chip energy density GJ/m</t>
    </r>
    <r>
      <rPr>
        <b/>
        <vertAlign val="superscript"/>
        <sz val="10"/>
        <rFont val="Arial"/>
        <family val="2"/>
      </rPr>
      <t>3</t>
    </r>
  </si>
  <si>
    <t>Hardwood chip bulk density</t>
  </si>
  <si>
    <t>Softwood chip bulk density</t>
  </si>
  <si>
    <t>Wet basis</t>
  </si>
  <si>
    <t>Moisture content %</t>
  </si>
  <si>
    <t>Net CV</t>
  </si>
  <si>
    <t>Density</t>
  </si>
  <si>
    <t>Energy density</t>
  </si>
  <si>
    <t>Bulk density</t>
  </si>
  <si>
    <t>Dry basis</t>
  </si>
  <si>
    <t>Swelling factor</t>
  </si>
  <si>
    <t>Volumetric correction</t>
  </si>
  <si>
    <t>Swelling factors</t>
  </si>
  <si>
    <t>Larch</t>
  </si>
  <si>
    <t>Fir</t>
  </si>
  <si>
    <t>Willow</t>
  </si>
  <si>
    <t>Maple</t>
  </si>
  <si>
    <t>Spruce</t>
  </si>
  <si>
    <t>Scots pine</t>
  </si>
  <si>
    <t>Ash</t>
  </si>
  <si>
    <t>Poplar</t>
  </si>
  <si>
    <t>Hazel</t>
  </si>
  <si>
    <t>Birch</t>
  </si>
  <si>
    <t>Oak</t>
  </si>
  <si>
    <t>Alder</t>
  </si>
  <si>
    <t>Beech</t>
  </si>
  <si>
    <t>Common hornbeam</t>
  </si>
  <si>
    <t>Shrinkage factor</t>
  </si>
  <si>
    <t>Lignin</t>
  </si>
  <si>
    <t>Elm</t>
  </si>
  <si>
    <t>Douglas fir</t>
  </si>
  <si>
    <t>Stacked hardwood log bulk density</t>
  </si>
  <si>
    <t>Stacked softwood log bulk density</t>
  </si>
  <si>
    <t>Solid wood to stacked log conversion factor</t>
  </si>
  <si>
    <t>Realizable energy</t>
  </si>
  <si>
    <t>Moisture content</t>
  </si>
</sst>
</file>

<file path=xl/styles.xml><?xml version="1.0" encoding="utf-8"?>
<styleSheet xmlns="http://schemas.openxmlformats.org/spreadsheetml/2006/main">
  <numFmts count="2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%"/>
  </numFmts>
  <fonts count="5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8.8"/>
      <color indexed="8"/>
      <name val="Arial"/>
      <family val="2"/>
    </font>
    <font>
      <sz val="6.95"/>
      <color indexed="8"/>
      <name val="Arial"/>
      <family val="2"/>
    </font>
    <font>
      <sz val="9.2"/>
      <color indexed="8"/>
      <name val="Arial"/>
      <family val="2"/>
    </font>
    <font>
      <sz val="9.5"/>
      <color indexed="8"/>
      <name val="Arial"/>
      <family val="2"/>
    </font>
    <font>
      <sz val="8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0"/>
    </font>
    <font>
      <vertAlign val="superscript"/>
      <sz val="11.5"/>
      <color indexed="8"/>
      <name val="Arial"/>
      <family val="0"/>
    </font>
    <font>
      <sz val="16.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181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9" fontId="0" fillId="33" borderId="0" xfId="0" applyNumberFormat="1" applyFill="1" applyAlignment="1">
      <alignment/>
    </xf>
    <xf numFmtId="180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81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calorific value of biomass vs. moisture content</a:t>
            </a:r>
          </a:p>
        </c:rich>
      </c:tx>
      <c:layout>
        <c:manualLayout>
          <c:xMode val="factor"/>
          <c:yMode val="factor"/>
          <c:x val="-0.06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75"/>
          <c:w val="0.59125"/>
          <c:h val="0.7635"/>
        </c:manualLayout>
      </c:layout>
      <c:lineChart>
        <c:grouping val="standard"/>
        <c:varyColors val="0"/>
        <c:ser>
          <c:idx val="1"/>
          <c:order val="0"/>
          <c:tx>
            <c:strRef>
              <c:f>'net CV in GJ'!$B$1</c:f>
              <c:strCache>
                <c:ptCount val="1"/>
                <c:pt idx="0">
                  <c:v>Wood Net CV GJ/t</c:v>
                </c:pt>
              </c:strCache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CV in GJ'!$A$4:$A$17</c:f>
              <c:numCache/>
            </c:numRef>
          </c:cat>
          <c:val>
            <c:numRef>
              <c:f>'net CV in GJ'!$B$4:$B$17</c:f>
              <c:numCache/>
            </c:numRef>
          </c:val>
          <c:smooth val="0"/>
        </c:ser>
        <c:ser>
          <c:idx val="3"/>
          <c:order val="1"/>
          <c:tx>
            <c:strRef>
              <c:f>'net CV in GJ'!$D$1</c:f>
              <c:strCache>
                <c:ptCount val="1"/>
                <c:pt idx="0">
                  <c:v>Miscanthus Net CV GJ/t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CV in GJ'!$A$4:$A$17</c:f>
              <c:numCache/>
            </c:numRef>
          </c:cat>
          <c:val>
            <c:numRef>
              <c:f>'net CV in GJ'!$D$4:$D$17</c:f>
              <c:numCache/>
            </c:numRef>
          </c:val>
          <c:smooth val="0"/>
        </c:ser>
        <c:ser>
          <c:idx val="0"/>
          <c:order val="4"/>
          <c:tx>
            <c:strRef>
              <c:f>'net CV in GJ'!$E$1</c:f>
              <c:strCache>
                <c:ptCount val="1"/>
                <c:pt idx="0">
                  <c:v>Wheat straw Net CV GJ/t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'net CV in GJ'!$E$4:$E$17</c:f>
              <c:numCache/>
            </c:numRef>
          </c:val>
          <c:smooth val="0"/>
        </c:ser>
        <c:marker val="1"/>
        <c:axId val="26080910"/>
        <c:axId val="33401599"/>
      </c:lineChart>
      <c:lineChart>
        <c:grouping val="standard"/>
        <c:varyColors val="0"/>
        <c:ser>
          <c:idx val="4"/>
          <c:order val="2"/>
          <c:tx>
            <c:strRef>
              <c:f>'net CV in GJ'!$F$1</c:f>
              <c:strCache>
                <c:ptCount val="1"/>
                <c:pt idx="0">
                  <c:v>Hardwood density kg/m3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CV in GJ'!$A$4:$A$17</c:f>
              <c:numCache/>
            </c:numRef>
          </c:cat>
          <c:val>
            <c:numRef>
              <c:f>'net CV in GJ'!$F$4:$F$17</c:f>
              <c:numCache/>
            </c:numRef>
          </c:val>
          <c:smooth val="0"/>
        </c:ser>
        <c:ser>
          <c:idx val="5"/>
          <c:order val="3"/>
          <c:tx>
            <c:strRef>
              <c:f>'net CV in GJ'!$G$1</c:f>
              <c:strCache>
                <c:ptCount val="1"/>
                <c:pt idx="0">
                  <c:v>Softwood density kg/m3</c:v>
                </c:pt>
              </c:strCache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CV in GJ'!$A$4:$A$17</c:f>
              <c:numCache/>
            </c:numRef>
          </c:cat>
          <c:val>
            <c:numRef>
              <c:f>'net CV in GJ'!$G$4:$G$17</c:f>
              <c:numCache/>
            </c:numRef>
          </c:val>
          <c:smooth val="0"/>
        </c:ser>
        <c:marker val="1"/>
        <c:axId val="32178936"/>
        <c:axId val="21174969"/>
      </c:lineChart>
      <c:catAx>
        <c:axId val="26080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content %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1599"/>
        <c:crossesAt val="0"/>
        <c:auto val="1"/>
        <c:lblOffset val="100"/>
        <c:tickLblSkip val="1"/>
        <c:noMultiLvlLbl val="0"/>
      </c:catAx>
      <c:valAx>
        <c:axId val="33401599"/>
        <c:scaling>
          <c:orientation val="minMax"/>
          <c:max val="2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calorific value GJ/t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0910"/>
        <c:crossesAt val="1"/>
        <c:crossBetween val="midCat"/>
        <c:dispUnits/>
        <c:majorUnit val="2"/>
      </c:valAx>
      <c:catAx>
        <c:axId val="32178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174969"/>
        <c:crossesAt val="0"/>
        <c:auto val="1"/>
        <c:lblOffset val="100"/>
        <c:tickLblSkip val="1"/>
        <c:noMultiLvlLbl val="0"/>
      </c:catAx>
      <c:valAx>
        <c:axId val="21174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 kg/m</a:t>
                </a:r>
                <a:r>
                  <a:rPr lang="en-US" cap="none" sz="115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8936"/>
        <c:crosses val="max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48125"/>
          <c:w val="0.16525"/>
          <c:h val="0.19925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Biomass energy by weight and volume</a:t>
            </a:r>
          </a:p>
        </c:rich>
      </c:tx>
      <c:layout>
        <c:manualLayout>
          <c:xMode val="factor"/>
          <c:yMode val="factor"/>
          <c:x val="-0.025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3975"/>
          <c:w val="0.55375"/>
          <c:h val="0.76725"/>
        </c:manualLayout>
      </c:layout>
      <c:lineChart>
        <c:grouping val="standard"/>
        <c:varyColors val="0"/>
        <c:ser>
          <c:idx val="1"/>
          <c:order val="0"/>
          <c:tx>
            <c:strRef>
              <c:f>'net CV in GJ'!$B$1</c:f>
              <c:strCache>
                <c:ptCount val="1"/>
                <c:pt idx="0">
                  <c:v>Wood Net CV GJ/t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CV in GJ'!$A$4:$A$17</c:f>
              <c:numCache/>
            </c:numRef>
          </c:cat>
          <c:val>
            <c:numRef>
              <c:f>'net CV in GJ'!$B$4:$B$17</c:f>
              <c:numCache/>
            </c:numRef>
          </c:val>
          <c:smooth val="0"/>
        </c:ser>
        <c:marker val="1"/>
        <c:axId val="56356994"/>
        <c:axId val="37450899"/>
      </c:lineChart>
      <c:lineChart>
        <c:grouping val="standard"/>
        <c:varyColors val="0"/>
        <c:ser>
          <c:idx val="0"/>
          <c:order val="1"/>
          <c:tx>
            <c:strRef>
              <c:f>'net CV in GJ'!$J$1</c:f>
              <c:strCache>
                <c:ptCount val="1"/>
                <c:pt idx="0">
                  <c:v>Hardwood chip energy density GJ/m3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'net CV in GJ'!$J$4:$J$17</c:f>
              <c:numCache/>
            </c:numRef>
          </c:val>
          <c:smooth val="0"/>
        </c:ser>
        <c:ser>
          <c:idx val="2"/>
          <c:order val="2"/>
          <c:tx>
            <c:strRef>
              <c:f>'net CV in GJ'!$K$1</c:f>
              <c:strCache>
                <c:ptCount val="1"/>
                <c:pt idx="0">
                  <c:v>Softwood chip energy density GJ/m3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'net CV in GJ'!$K$4:$K$17</c:f>
              <c:numCache/>
            </c:numRef>
          </c:val>
          <c:smooth val="0"/>
        </c:ser>
        <c:marker val="1"/>
        <c:axId val="1513772"/>
        <c:axId val="13623949"/>
      </c:lineChart>
      <c:catAx>
        <c:axId val="56356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content /%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50899"/>
        <c:crosses val="autoZero"/>
        <c:auto val="0"/>
        <c:lblOffset val="100"/>
        <c:tickLblSkip val="1"/>
        <c:noMultiLvlLbl val="0"/>
      </c:catAx>
      <c:valAx>
        <c:axId val="37450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CV GJ/t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56994"/>
        <c:crossesAt val="1"/>
        <c:crossBetween val="between"/>
        <c:dispUnits/>
      </c:valAx>
      <c:catAx>
        <c:axId val="1513772"/>
        <c:scaling>
          <c:orientation val="minMax"/>
        </c:scaling>
        <c:axPos val="b"/>
        <c:delete val="1"/>
        <c:majorTickMark val="out"/>
        <c:minorTickMark val="none"/>
        <c:tickLblPos val="nextTo"/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density GJ/m3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75"/>
          <c:y val="0.36775"/>
          <c:w val="0.2955"/>
          <c:h val="0.2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calorific value of biomass vs. moisture content</a:t>
            </a:r>
          </a:p>
        </c:rich>
      </c:tx>
      <c:layout>
        <c:manualLayout>
          <c:xMode val="factor"/>
          <c:yMode val="factor"/>
          <c:x val="-0.15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7625"/>
          <c:w val="0.60775"/>
          <c:h val="0.71825"/>
        </c:manualLayout>
      </c:layout>
      <c:lineChart>
        <c:grouping val="standard"/>
        <c:varyColors val="0"/>
        <c:ser>
          <c:idx val="1"/>
          <c:order val="0"/>
          <c:tx>
            <c:strRef>
              <c:f>'net CV in MWh'!$B$1</c:f>
              <c:strCache>
                <c:ptCount val="1"/>
                <c:pt idx="0">
                  <c:v>Wood Net CV MWh/t</c:v>
                </c:pt>
              </c:strCache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CV in MWh'!$A$4:$A$17</c:f>
              <c:numCache/>
            </c:numRef>
          </c:cat>
          <c:val>
            <c:numRef>
              <c:f>'net CV in MWh'!$B$4:$B$17</c:f>
              <c:numCache/>
            </c:numRef>
          </c:val>
          <c:smooth val="0"/>
        </c:ser>
        <c:ser>
          <c:idx val="4"/>
          <c:order val="1"/>
          <c:tx>
            <c:strRef>
              <c:f>'net CV in MWh'!$D$1</c:f>
              <c:strCache>
                <c:ptCount val="1"/>
                <c:pt idx="0">
                  <c:v>Miscanthus Net CV MWh/t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CV in MWh'!$A$4:$A$17</c:f>
              <c:numCache/>
            </c:numRef>
          </c:cat>
          <c:val>
            <c:numRef>
              <c:f>'net CV in MWh'!$D$4:$D$17</c:f>
              <c:numCache/>
            </c:numRef>
          </c:val>
          <c:smooth val="0"/>
        </c:ser>
        <c:ser>
          <c:idx val="0"/>
          <c:order val="4"/>
          <c:tx>
            <c:strRef>
              <c:f>'net CV in MWh'!$E$1</c:f>
              <c:strCache>
                <c:ptCount val="1"/>
                <c:pt idx="0">
                  <c:v>Wheat straw Net CV MWh/t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'net CV in MWh'!$E$4:$E$17</c:f>
              <c:numCache/>
            </c:numRef>
          </c:val>
          <c:smooth val="0"/>
        </c:ser>
        <c:marker val="1"/>
        <c:axId val="55506678"/>
        <c:axId val="29798055"/>
      </c:lineChart>
      <c:lineChart>
        <c:grouping val="standard"/>
        <c:varyColors val="0"/>
        <c:ser>
          <c:idx val="3"/>
          <c:order val="2"/>
          <c:tx>
            <c:strRef>
              <c:f>'net CV in MWh'!$F$1</c:f>
              <c:strCache>
                <c:ptCount val="1"/>
                <c:pt idx="0">
                  <c:v>Hardwood density kg/m3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CV in MWh'!$A$4:$A$17</c:f>
              <c:numCache/>
            </c:numRef>
          </c:cat>
          <c:val>
            <c:numRef>
              <c:f>'net CV in MWh'!$F$4:$F$17</c:f>
              <c:numCache/>
            </c:numRef>
          </c:val>
          <c:smooth val="0"/>
        </c:ser>
        <c:ser>
          <c:idx val="5"/>
          <c:order val="3"/>
          <c:tx>
            <c:strRef>
              <c:f>'net CV in MWh'!$G$1</c:f>
              <c:strCache>
                <c:ptCount val="1"/>
                <c:pt idx="0">
                  <c:v>Softwood density kg/m3</c:v>
                </c:pt>
              </c:strCache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CV in MWh'!$A$4:$A$17</c:f>
              <c:numCache/>
            </c:numRef>
          </c:cat>
          <c:val>
            <c:numRef>
              <c:f>'net CV in MWh'!$G$4:$G$17</c:f>
              <c:numCache/>
            </c:numRef>
          </c:val>
          <c:smooth val="0"/>
        </c:ser>
        <c:marker val="1"/>
        <c:axId val="66855904"/>
        <c:axId val="64832225"/>
      </c:lineChart>
      <c:catAx>
        <c:axId val="55506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content %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98055"/>
        <c:crossesAt val="0"/>
        <c:auto val="1"/>
        <c:lblOffset val="100"/>
        <c:tickLblSkip val="1"/>
        <c:noMultiLvlLbl val="0"/>
      </c:catAx>
      <c:valAx>
        <c:axId val="2979805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calorific value MWh/t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06678"/>
        <c:crossesAt val="1"/>
        <c:crossBetween val="midCat"/>
        <c:dispUnits/>
        <c:majorUnit val="1"/>
        <c:minorUnit val="0.5"/>
      </c:valAx>
      <c:catAx>
        <c:axId val="66855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832225"/>
        <c:crossesAt val="0"/>
        <c:auto val="1"/>
        <c:lblOffset val="100"/>
        <c:tickLblSkip val="1"/>
        <c:noMultiLvlLbl val="0"/>
      </c:catAx>
      <c:valAx>
        <c:axId val="64832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 kg/m3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55904"/>
        <c:crosses val="max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25"/>
          <c:y val="0.45125"/>
          <c:w val="0.17775"/>
          <c:h val="0.19125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Biomass energy by weight and volume</a:t>
            </a:r>
          </a:p>
        </c:rich>
      </c:tx>
      <c:layout>
        <c:manualLayout>
          <c:xMode val="factor"/>
          <c:yMode val="factor"/>
          <c:x val="-0.123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38"/>
          <c:w val="0.49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'net CV in MWh'!$B$1</c:f>
              <c:strCache>
                <c:ptCount val="1"/>
                <c:pt idx="0">
                  <c:v>Wood Net CV MWh/t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CV in MWh'!$A$4:$A$17</c:f>
              <c:numCache/>
            </c:numRef>
          </c:cat>
          <c:val>
            <c:numRef>
              <c:f>'net CV in MWh'!$B$4:$B$17</c:f>
              <c:numCache/>
            </c:numRef>
          </c:val>
          <c:smooth val="0"/>
        </c:ser>
        <c:marker val="1"/>
        <c:axId val="46619114"/>
        <c:axId val="16918843"/>
      </c:lineChart>
      <c:lineChart>
        <c:grouping val="standard"/>
        <c:varyColors val="0"/>
        <c:ser>
          <c:idx val="1"/>
          <c:order val="1"/>
          <c:tx>
            <c:strRef>
              <c:f>'net CV in MWh'!$J$1</c:f>
              <c:strCache>
                <c:ptCount val="1"/>
                <c:pt idx="0">
                  <c:v>Hardwood chip energy density MWh/m3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'net CV in MWh'!$J$4:$J$17</c:f>
              <c:numCache/>
            </c:numRef>
          </c:val>
          <c:smooth val="0"/>
        </c:ser>
        <c:ser>
          <c:idx val="2"/>
          <c:order val="2"/>
          <c:tx>
            <c:strRef>
              <c:f>'net CV in MWh'!$K$1</c:f>
              <c:strCache>
                <c:ptCount val="1"/>
                <c:pt idx="0">
                  <c:v>Softwood chip energy density MWh/m3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'net CV in MWh'!$K$4:$K$17</c:f>
              <c:numCache/>
            </c:numRef>
          </c:val>
          <c:smooth val="0"/>
        </c:ser>
        <c:marker val="1"/>
        <c:axId val="18051860"/>
        <c:axId val="28249013"/>
      </c:lineChart>
      <c:catAx>
        <c:axId val="4661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content /%</a:t>
                </a:r>
              </a:p>
            </c:rich>
          </c:tx>
          <c:layout>
            <c:manualLayout>
              <c:xMode val="factor"/>
              <c:yMode val="factor"/>
              <c:x val="-0.018"/>
              <c:y val="-0.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8843"/>
        <c:crosses val="autoZero"/>
        <c:auto val="1"/>
        <c:lblOffset val="100"/>
        <c:tickLblSkip val="1"/>
        <c:noMultiLvlLbl val="0"/>
      </c:catAx>
      <c:valAx>
        <c:axId val="1691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CV MWh/t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114"/>
        <c:crossesAt val="1"/>
        <c:crossBetween val="between"/>
        <c:dispUnits/>
      </c:valAx>
      <c:catAx>
        <c:axId val="18051860"/>
        <c:scaling>
          <c:orientation val="minMax"/>
        </c:scaling>
        <c:axPos val="b"/>
        <c:delete val="1"/>
        <c:majorTickMark val="out"/>
        <c:minorTickMark val="none"/>
        <c:tickLblPos val="nextTo"/>
        <c:crossAx val="28249013"/>
        <c:crosses val="autoZero"/>
        <c:auto val="1"/>
        <c:lblOffset val="100"/>
        <c:tickLblSkip val="1"/>
        <c:noMultiLvlLbl val="0"/>
      </c:catAx>
      <c:valAx>
        <c:axId val="28249013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density MWh/m3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18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36675"/>
          <c:w val="0.28425"/>
          <c:h val="0.2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0.441</cdr:y>
    </cdr:from>
    <cdr:to>
      <cdr:x>0.154</cdr:x>
      <cdr:y>0.441</cdr:y>
    </cdr:to>
    <cdr:sp>
      <cdr:nvSpPr>
        <cdr:cNvPr id="1" name="Line 1"/>
        <cdr:cNvSpPr>
          <a:spLocks/>
        </cdr:cNvSpPr>
      </cdr:nvSpPr>
      <cdr:spPr>
        <a:xfrm flipH="1">
          <a:off x="542925" y="1495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0.3015</cdr:x>
      <cdr:y>0.662</cdr:y>
    </cdr:from>
    <cdr:to>
      <cdr:x>0.40825</cdr:x>
      <cdr:y>0.662</cdr:y>
    </cdr:to>
    <cdr:sp>
      <cdr:nvSpPr>
        <cdr:cNvPr id="2" name="Line 2"/>
        <cdr:cNvSpPr>
          <a:spLocks/>
        </cdr:cNvSpPr>
      </cdr:nvSpPr>
      <cdr:spPr>
        <a:xfrm>
          <a:off x="2352675" y="22479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95250</xdr:rowOff>
    </xdr:from>
    <xdr:to>
      <xdr:col>10</xdr:col>
      <xdr:colOff>723900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809625" y="3686175"/>
        <a:ext cx="7829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762000</xdr:colOff>
      <xdr:row>23</xdr:row>
      <xdr:rowOff>0</xdr:rowOff>
    </xdr:from>
    <xdr:to>
      <xdr:col>21</xdr:col>
      <xdr:colOff>9525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9467850" y="3752850"/>
        <a:ext cx="71532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0.64225</cdr:y>
    </cdr:from>
    <cdr:to>
      <cdr:x>0.4455</cdr:x>
      <cdr:y>0.64225</cdr:y>
    </cdr:to>
    <cdr:sp>
      <cdr:nvSpPr>
        <cdr:cNvPr id="1" name="Line 4"/>
        <cdr:cNvSpPr>
          <a:spLocks/>
        </cdr:cNvSpPr>
      </cdr:nvSpPr>
      <cdr:spPr>
        <a:xfrm flipV="1">
          <a:off x="3448050" y="22669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0</xdr:rowOff>
    </xdr:from>
    <xdr:to>
      <xdr:col>10</xdr:col>
      <xdr:colOff>638175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800100" y="3429000"/>
        <a:ext cx="111537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31</xdr:row>
      <xdr:rowOff>38100</xdr:rowOff>
    </xdr:from>
    <xdr:to>
      <xdr:col>3</xdr:col>
      <xdr:colOff>742950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 flipH="1">
          <a:off x="2400300" y="5086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9525</xdr:rowOff>
    </xdr:from>
    <xdr:to>
      <xdr:col>19</xdr:col>
      <xdr:colOff>742950</xdr:colOff>
      <xdr:row>42</xdr:row>
      <xdr:rowOff>133350</xdr:rowOff>
    </xdr:to>
    <xdr:graphicFrame>
      <xdr:nvGraphicFramePr>
        <xdr:cNvPr id="3" name="Chart 4"/>
        <xdr:cNvGraphicFramePr/>
      </xdr:nvGraphicFramePr>
      <xdr:xfrm>
        <a:off x="16840200" y="3276600"/>
        <a:ext cx="142589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0" sqref="B10"/>
    </sheetView>
  </sheetViews>
  <sheetFormatPr defaultColWidth="11.8515625" defaultRowHeight="12.75"/>
  <cols>
    <col min="1" max="1" width="12.00390625" style="0" customWidth="1"/>
  </cols>
  <sheetData>
    <row r="1" spans="1:19" s="6" customFormat="1" ht="15">
      <c r="A1" s="6" t="s">
        <v>52</v>
      </c>
      <c r="B1" s="6" t="s">
        <v>39</v>
      </c>
      <c r="C1" s="6" t="s">
        <v>39</v>
      </c>
      <c r="D1" s="6" t="s">
        <v>41</v>
      </c>
      <c r="E1" s="6" t="s">
        <v>40</v>
      </c>
      <c r="F1" s="6" t="s">
        <v>35</v>
      </c>
      <c r="G1" s="6" t="s">
        <v>34</v>
      </c>
      <c r="H1" s="6" t="s">
        <v>47</v>
      </c>
      <c r="I1" s="6" t="s">
        <v>0</v>
      </c>
      <c r="J1" s="6" t="s">
        <v>48</v>
      </c>
      <c r="K1" s="6" t="s">
        <v>1</v>
      </c>
      <c r="L1" s="6" t="s">
        <v>2</v>
      </c>
      <c r="M1" s="6" t="s">
        <v>3</v>
      </c>
      <c r="N1" s="6" t="s">
        <v>49</v>
      </c>
      <c r="O1" s="6" t="s">
        <v>50</v>
      </c>
      <c r="P1" s="6" t="s">
        <v>52</v>
      </c>
      <c r="Q1" s="6" t="s">
        <v>59</v>
      </c>
      <c r="R1" s="6" t="s">
        <v>79</v>
      </c>
      <c r="S1" s="6" t="s">
        <v>80</v>
      </c>
    </row>
    <row r="2" spans="1:19" s="6" customFormat="1" ht="12.75">
      <c r="A2" s="6" t="s">
        <v>51</v>
      </c>
      <c r="B2" s="6" t="s">
        <v>53</v>
      </c>
      <c r="C2" s="6" t="s">
        <v>82</v>
      </c>
      <c r="D2" s="6" t="s">
        <v>53</v>
      </c>
      <c r="E2" s="6" t="s">
        <v>53</v>
      </c>
      <c r="F2" s="6" t="s">
        <v>54</v>
      </c>
      <c r="G2" s="6" t="s">
        <v>54</v>
      </c>
      <c r="H2" s="6" t="s">
        <v>55</v>
      </c>
      <c r="I2" s="6" t="s">
        <v>55</v>
      </c>
      <c r="J2" s="6" t="s">
        <v>55</v>
      </c>
      <c r="K2" s="6" t="s">
        <v>55</v>
      </c>
      <c r="L2" s="6" t="s">
        <v>55</v>
      </c>
      <c r="M2" s="6" t="s">
        <v>55</v>
      </c>
      <c r="N2" s="6" t="s">
        <v>56</v>
      </c>
      <c r="O2" s="6" t="s">
        <v>56</v>
      </c>
      <c r="P2" s="6" t="s">
        <v>57</v>
      </c>
      <c r="R2" s="6" t="s">
        <v>56</v>
      </c>
      <c r="S2" s="6" t="s">
        <v>56</v>
      </c>
    </row>
    <row r="3" spans="1:19" s="6" customFormat="1" ht="12.75">
      <c r="A3" s="6" t="s">
        <v>36</v>
      </c>
      <c r="B3" s="6" t="s">
        <v>17</v>
      </c>
      <c r="C3" s="6" t="s">
        <v>17</v>
      </c>
      <c r="D3" s="6" t="s">
        <v>17</v>
      </c>
      <c r="E3" s="6" t="s">
        <v>17</v>
      </c>
      <c r="F3" s="6" t="s">
        <v>33</v>
      </c>
      <c r="G3" s="6" t="s">
        <v>33</v>
      </c>
      <c r="H3" s="6" t="s">
        <v>18</v>
      </c>
      <c r="I3" s="6" t="s">
        <v>18</v>
      </c>
      <c r="J3" s="6" t="s">
        <v>18</v>
      </c>
      <c r="K3" s="6" t="s">
        <v>18</v>
      </c>
      <c r="L3" s="6" t="s">
        <v>18</v>
      </c>
      <c r="M3" s="6" t="s">
        <v>18</v>
      </c>
      <c r="N3" s="6" t="s">
        <v>33</v>
      </c>
      <c r="O3" s="6" t="s">
        <v>33</v>
      </c>
      <c r="P3" s="6" t="s">
        <v>36</v>
      </c>
      <c r="R3" s="6" t="s">
        <v>33</v>
      </c>
      <c r="S3" s="6" t="s">
        <v>33</v>
      </c>
    </row>
    <row r="4" spans="1:19" ht="12.75">
      <c r="A4" s="5">
        <v>0</v>
      </c>
      <c r="B4" s="9">
        <v>19</v>
      </c>
      <c r="C4" s="9">
        <f>B4</f>
        <v>19</v>
      </c>
      <c r="D4" s="9">
        <v>18</v>
      </c>
      <c r="E4" s="9">
        <v>17</v>
      </c>
      <c r="F4" s="4">
        <v>580</v>
      </c>
      <c r="G4" s="4">
        <v>410</v>
      </c>
      <c r="H4" s="9">
        <f aca="true" t="shared" si="0" ref="H4:H17">B4*F4/1000</f>
        <v>11.02</v>
      </c>
      <c r="I4" s="9">
        <f aca="true" t="shared" si="1" ref="I4:I17">B4*G4/1000</f>
        <v>7.79</v>
      </c>
      <c r="J4" s="9">
        <f>H4/$H$63</f>
        <v>4.0814814814814815</v>
      </c>
      <c r="K4" s="9">
        <f>I4/$H$63</f>
        <v>2.885185185185185</v>
      </c>
      <c r="L4" s="9">
        <f>H4/$I$63</f>
        <v>7.395973154362416</v>
      </c>
      <c r="M4" s="9">
        <f>I4/$I$63</f>
        <v>5.228187919463087</v>
      </c>
      <c r="N4" s="4">
        <f>F4/$H$63</f>
        <v>214.8148148148148</v>
      </c>
      <c r="O4" s="4">
        <f aca="true" t="shared" si="2" ref="O4:O17">G4/$H$63</f>
        <v>151.85185185185185</v>
      </c>
      <c r="P4" s="7">
        <f>A4/(1-A4)</f>
        <v>0</v>
      </c>
      <c r="Q4" s="8">
        <f>1+(($J$63*$P4)/0.3)</f>
        <v>1</v>
      </c>
      <c r="R4" s="4">
        <f>F4/$I$63</f>
        <v>389.26174496644296</v>
      </c>
      <c r="S4" s="4">
        <f>G4/$I$63</f>
        <v>275.1677852348993</v>
      </c>
    </row>
    <row r="5" spans="1:19" ht="12.75">
      <c r="A5" s="5">
        <v>0.05</v>
      </c>
      <c r="B5" s="9">
        <f>B$4*(1-$A5)-2.443*$A5</f>
        <v>17.92785</v>
      </c>
      <c r="C5" s="9">
        <f>C$4*(1-$A5)-(2.258+0.334)*$A5</f>
        <v>17.9204</v>
      </c>
      <c r="D5" s="9">
        <f>D$4*(1-$A5)-2.443*$A5</f>
        <v>16.977849999999997</v>
      </c>
      <c r="E5" s="9">
        <f>E$4*(1-$A5)-2.443*$A5</f>
        <v>16.027849999999997</v>
      </c>
      <c r="F5" s="4">
        <f>(F$4/(1-$A5))/$Q5</f>
        <v>596.9183060374069</v>
      </c>
      <c r="G5" s="4">
        <f>(G$4/(1-$A5))/$Q5</f>
        <v>421.95949219885654</v>
      </c>
      <c r="H5" s="9">
        <f t="shared" si="0"/>
        <v>10.701461852892724</v>
      </c>
      <c r="I5" s="9">
        <f t="shared" si="1"/>
        <v>7.56482648221727</v>
      </c>
      <c r="J5" s="9">
        <f aca="true" t="shared" si="3" ref="J5:J17">H5/$H$63</f>
        <v>3.9635043899602675</v>
      </c>
      <c r="K5" s="9">
        <f aca="true" t="shared" si="4" ref="K5:K17">I5/$H$63</f>
        <v>2.801787586006396</v>
      </c>
      <c r="L5" s="9">
        <f aca="true" t="shared" si="5" ref="L5:L17">H5/$I$63</f>
        <v>7.182189163015251</v>
      </c>
      <c r="M5" s="9">
        <f aca="true" t="shared" si="6" ref="M5:M17">I5/$I$63</f>
        <v>5.077064753165953</v>
      </c>
      <c r="N5" s="4">
        <f aca="true" t="shared" si="7" ref="N5:N17">F5/$H$63</f>
        <v>221.08085408792846</v>
      </c>
      <c r="O5" s="4">
        <f t="shared" si="2"/>
        <v>156.2812934069839</v>
      </c>
      <c r="P5" s="7">
        <f aca="true" t="shared" si="8" ref="P5:P17">A5/(1-A5)</f>
        <v>0.052631578947368425</v>
      </c>
      <c r="Q5" s="8">
        <f>1+(($J$63*$P5)/0.3)</f>
        <v>1.022797105758747</v>
      </c>
      <c r="R5" s="4">
        <f aca="true" t="shared" si="9" ref="R5:R17">F5/$I$63</f>
        <v>400.61631277678316</v>
      </c>
      <c r="S5" s="4">
        <f aca="true" t="shared" si="10" ref="S5:S17">G5/$I$63</f>
        <v>283.1942900663467</v>
      </c>
    </row>
    <row r="6" spans="1:19" ht="12.75">
      <c r="A6" s="5">
        <v>0.1</v>
      </c>
      <c r="B6" s="9">
        <f aca="true" t="shared" si="11" ref="B6:E17">B$4*(1-$A6)-2.443*$A6</f>
        <v>16.855700000000002</v>
      </c>
      <c r="C6" s="9">
        <f aca="true" t="shared" si="12" ref="C6:C17">C$4*(1-$A6)-(2.258+0.334)*$A6</f>
        <v>16.8408</v>
      </c>
      <c r="D6" s="9">
        <f t="shared" si="11"/>
        <v>15.955699999999998</v>
      </c>
      <c r="E6" s="9">
        <f t="shared" si="11"/>
        <v>15.0557</v>
      </c>
      <c r="F6" s="4">
        <f aca="true" t="shared" si="13" ref="F6:G17">(F$4/(1-$A6))/$Q6</f>
        <v>614.8532641245757</v>
      </c>
      <c r="G6" s="4">
        <f t="shared" si="13"/>
        <v>434.6376522259932</v>
      </c>
      <c r="H6" s="9">
        <f t="shared" si="0"/>
        <v>10.363782164104611</v>
      </c>
      <c r="I6" s="9">
        <f t="shared" si="1"/>
        <v>7.326121874625675</v>
      </c>
      <c r="J6" s="9">
        <f t="shared" si="3"/>
        <v>3.838437838557263</v>
      </c>
      <c r="K6" s="9">
        <f t="shared" si="4"/>
        <v>2.713378472083583</v>
      </c>
      <c r="L6" s="9">
        <f t="shared" si="5"/>
        <v>6.955558499399068</v>
      </c>
      <c r="M6" s="9">
        <f t="shared" si="6"/>
        <v>4.916860318540722</v>
      </c>
      <c r="N6" s="4">
        <f t="shared" si="7"/>
        <v>227.72343115725025</v>
      </c>
      <c r="O6" s="4">
        <f t="shared" si="2"/>
        <v>160.9769082318493</v>
      </c>
      <c r="P6" s="7">
        <f t="shared" si="8"/>
        <v>0.11111111111111112</v>
      </c>
      <c r="Q6" s="8">
        <f>1+(($J$63*$P6)/0.3)</f>
        <v>1.0481272232684662</v>
      </c>
      <c r="R6" s="4">
        <f t="shared" si="9"/>
        <v>412.65319739904413</v>
      </c>
      <c r="S6" s="4">
        <f t="shared" si="10"/>
        <v>291.70312229932426</v>
      </c>
    </row>
    <row r="7" spans="1:19" ht="12.75">
      <c r="A7" s="5">
        <v>0.15</v>
      </c>
      <c r="B7" s="9">
        <f t="shared" si="11"/>
        <v>15.783549999999998</v>
      </c>
      <c r="C7" s="9">
        <f t="shared" si="12"/>
        <v>15.761199999999999</v>
      </c>
      <c r="D7" s="9">
        <f t="shared" si="11"/>
        <v>14.933549999999999</v>
      </c>
      <c r="E7" s="9">
        <f t="shared" si="11"/>
        <v>14.083549999999999</v>
      </c>
      <c r="F7" s="4">
        <f t="shared" si="13"/>
        <v>633.8993516517444</v>
      </c>
      <c r="G7" s="4">
        <f t="shared" si="13"/>
        <v>448.10126582278485</v>
      </c>
      <c r="H7" s="9">
        <f t="shared" si="0"/>
        <v>10.00518211176289</v>
      </c>
      <c r="I7" s="9">
        <f t="shared" si="1"/>
        <v>7.072628734177215</v>
      </c>
      <c r="J7" s="9">
        <f t="shared" si="3"/>
        <v>3.705623004356626</v>
      </c>
      <c r="K7" s="9">
        <f t="shared" si="4"/>
        <v>2.6194921237693385</v>
      </c>
      <c r="L7" s="9">
        <f t="shared" si="5"/>
        <v>6.714887323330799</v>
      </c>
      <c r="M7" s="9">
        <f t="shared" si="6"/>
        <v>4.746730694078668</v>
      </c>
      <c r="N7" s="4">
        <f t="shared" si="7"/>
        <v>234.7775376487942</v>
      </c>
      <c r="O7" s="4">
        <f t="shared" si="2"/>
        <v>165.9634317862166</v>
      </c>
      <c r="P7" s="7">
        <f t="shared" si="8"/>
        <v>0.17647058823529413</v>
      </c>
      <c r="Q7" s="8">
        <f>1+(($J$63*$P7)/0.3)</f>
        <v>1.076437354602858</v>
      </c>
      <c r="R7" s="4">
        <f t="shared" si="9"/>
        <v>425.4358064776808</v>
      </c>
      <c r="S7" s="4">
        <f t="shared" si="10"/>
        <v>300.73910457905026</v>
      </c>
    </row>
    <row r="8" spans="1:19" ht="12.75">
      <c r="A8" s="5">
        <v>0.2</v>
      </c>
      <c r="B8" s="9">
        <f t="shared" si="11"/>
        <v>14.711400000000001</v>
      </c>
      <c r="C8" s="9">
        <f t="shared" si="12"/>
        <v>14.681600000000001</v>
      </c>
      <c r="D8" s="9">
        <f t="shared" si="11"/>
        <v>13.9114</v>
      </c>
      <c r="E8" s="9">
        <f t="shared" si="11"/>
        <v>13.111400000000001</v>
      </c>
      <c r="F8" s="4">
        <f t="shared" si="13"/>
        <v>654.1631265930332</v>
      </c>
      <c r="G8" s="4">
        <f t="shared" si="13"/>
        <v>462.42565845369586</v>
      </c>
      <c r="H8" s="9">
        <f t="shared" si="0"/>
        <v>9.62365542056075</v>
      </c>
      <c r="I8" s="9">
        <f t="shared" si="1"/>
        <v>6.802928831775702</v>
      </c>
      <c r="J8" s="9">
        <f t="shared" si="3"/>
        <v>3.564316822429907</v>
      </c>
      <c r="K8" s="9">
        <f t="shared" si="4"/>
        <v>2.519603271028038</v>
      </c>
      <c r="L8" s="9">
        <f t="shared" si="5"/>
        <v>6.45882914131594</v>
      </c>
      <c r="M8" s="9">
        <f t="shared" si="6"/>
        <v>4.565724048171612</v>
      </c>
      <c r="N8" s="4">
        <f t="shared" si="7"/>
        <v>242.28263947890116</v>
      </c>
      <c r="O8" s="4">
        <f t="shared" si="2"/>
        <v>171.2687623902577</v>
      </c>
      <c r="P8" s="7">
        <f t="shared" si="8"/>
        <v>0.25</v>
      </c>
      <c r="Q8" s="8">
        <f>1+(($J$63*$P8)/0.3)</f>
        <v>1.1082862523540489</v>
      </c>
      <c r="R8" s="4">
        <f t="shared" si="9"/>
        <v>439.03565543156594</v>
      </c>
      <c r="S8" s="4">
        <f t="shared" si="10"/>
        <v>310.3527909085207</v>
      </c>
    </row>
    <row r="9" spans="1:19" ht="12.75">
      <c r="A9" s="5">
        <v>0.25</v>
      </c>
      <c r="B9" s="9">
        <f t="shared" si="11"/>
        <v>13.63925</v>
      </c>
      <c r="C9" s="9">
        <f t="shared" si="12"/>
        <v>13.602</v>
      </c>
      <c r="D9" s="9">
        <f t="shared" si="11"/>
        <v>12.88925</v>
      </c>
      <c r="E9" s="9">
        <f t="shared" si="11"/>
        <v>12.13925</v>
      </c>
      <c r="F9" s="4">
        <f t="shared" si="13"/>
        <v>684.4</v>
      </c>
      <c r="G9" s="4">
        <f t="shared" si="13"/>
        <v>483.79999999999995</v>
      </c>
      <c r="H9" s="9">
        <f t="shared" si="0"/>
        <v>9.3347027</v>
      </c>
      <c r="I9" s="9">
        <f t="shared" si="1"/>
        <v>6.59866915</v>
      </c>
      <c r="J9" s="9">
        <f t="shared" si="3"/>
        <v>3.457297296296296</v>
      </c>
      <c r="K9" s="9">
        <f t="shared" si="4"/>
        <v>2.443951537037037</v>
      </c>
      <c r="L9" s="9">
        <f t="shared" si="5"/>
        <v>6.264901140939597</v>
      </c>
      <c r="M9" s="9">
        <f t="shared" si="6"/>
        <v>4.428637013422819</v>
      </c>
      <c r="N9" s="4">
        <f t="shared" si="7"/>
        <v>253.48148148148147</v>
      </c>
      <c r="O9" s="4">
        <f t="shared" si="2"/>
        <v>179.18518518518516</v>
      </c>
      <c r="P9" s="7">
        <f t="shared" si="8"/>
        <v>0.3333333333333333</v>
      </c>
      <c r="Q9" s="8">
        <f aca="true" t="shared" si="14" ref="Q9:Q17">1+($J$63)</f>
        <v>1.1299435028248588</v>
      </c>
      <c r="R9" s="4">
        <f t="shared" si="9"/>
        <v>459.3288590604027</v>
      </c>
      <c r="S9" s="4">
        <f t="shared" si="10"/>
        <v>324.69798657718115</v>
      </c>
    </row>
    <row r="10" spans="1:19" ht="12.75">
      <c r="A10" s="5">
        <v>0.3</v>
      </c>
      <c r="B10" s="9">
        <f t="shared" si="11"/>
        <v>12.567099999999998</v>
      </c>
      <c r="C10" s="9">
        <f t="shared" si="12"/>
        <v>12.5224</v>
      </c>
      <c r="D10" s="9">
        <f t="shared" si="11"/>
        <v>11.867099999999999</v>
      </c>
      <c r="E10" s="9">
        <f t="shared" si="11"/>
        <v>11.167099999999998</v>
      </c>
      <c r="F10" s="4">
        <f t="shared" si="13"/>
        <v>733.2857142857143</v>
      </c>
      <c r="G10" s="4">
        <f t="shared" si="13"/>
        <v>518.3571428571429</v>
      </c>
      <c r="H10" s="9">
        <f t="shared" si="0"/>
        <v>9.215274899999999</v>
      </c>
      <c r="I10" s="9">
        <f t="shared" si="1"/>
        <v>6.51424605</v>
      </c>
      <c r="J10" s="9">
        <f t="shared" si="3"/>
        <v>3.413064777777777</v>
      </c>
      <c r="K10" s="9">
        <f t="shared" si="4"/>
        <v>2.412683722222222</v>
      </c>
      <c r="L10" s="9">
        <f t="shared" si="5"/>
        <v>6.184748255033556</v>
      </c>
      <c r="M10" s="9">
        <f t="shared" si="6"/>
        <v>4.3719772147651</v>
      </c>
      <c r="N10" s="4">
        <f t="shared" si="7"/>
        <v>271.58730158730157</v>
      </c>
      <c r="O10" s="4">
        <f t="shared" si="2"/>
        <v>191.984126984127</v>
      </c>
      <c r="P10" s="7">
        <f t="shared" si="8"/>
        <v>0.4285714285714286</v>
      </c>
      <c r="Q10" s="8">
        <f t="shared" si="14"/>
        <v>1.1299435028248588</v>
      </c>
      <c r="R10" s="4">
        <f t="shared" si="9"/>
        <v>492.1380632790029</v>
      </c>
      <c r="S10" s="4">
        <f t="shared" si="10"/>
        <v>347.89069990412276</v>
      </c>
    </row>
    <row r="11" spans="1:19" ht="12.75">
      <c r="A11" s="5">
        <v>0.35</v>
      </c>
      <c r="B11" s="9">
        <f t="shared" si="11"/>
        <v>11.49495</v>
      </c>
      <c r="C11" s="9">
        <f t="shared" si="12"/>
        <v>11.4428</v>
      </c>
      <c r="D11" s="9">
        <f t="shared" si="11"/>
        <v>10.84495</v>
      </c>
      <c r="E11" s="9">
        <f t="shared" si="11"/>
        <v>10.19495</v>
      </c>
      <c r="F11" s="4">
        <f t="shared" si="13"/>
        <v>789.6923076923076</v>
      </c>
      <c r="G11" s="4">
        <f t="shared" si="13"/>
        <v>558.2307692307692</v>
      </c>
      <c r="H11" s="9">
        <f t="shared" si="0"/>
        <v>9.077473592307692</v>
      </c>
      <c r="I11" s="9">
        <f t="shared" si="1"/>
        <v>6.416834780769229</v>
      </c>
      <c r="J11" s="9">
        <f t="shared" si="3"/>
        <v>3.362027256410256</v>
      </c>
      <c r="K11" s="9">
        <f t="shared" si="4"/>
        <v>2.3766054743589735</v>
      </c>
      <c r="L11" s="9">
        <f t="shared" si="5"/>
        <v>6.092264155911203</v>
      </c>
      <c r="M11" s="9">
        <f t="shared" si="6"/>
        <v>4.306600524006194</v>
      </c>
      <c r="N11" s="4">
        <f t="shared" si="7"/>
        <v>292.47863247863245</v>
      </c>
      <c r="O11" s="4">
        <f t="shared" si="2"/>
        <v>206.75213675213672</v>
      </c>
      <c r="P11" s="7">
        <f t="shared" si="8"/>
        <v>0.5384615384615384</v>
      </c>
      <c r="Q11" s="8">
        <f t="shared" si="14"/>
        <v>1.1299435028248588</v>
      </c>
      <c r="R11" s="4">
        <f t="shared" si="9"/>
        <v>529.9948373773876</v>
      </c>
      <c r="S11" s="4">
        <f t="shared" si="10"/>
        <v>374.6515229736706</v>
      </c>
    </row>
    <row r="12" spans="1:19" ht="12.75">
      <c r="A12" s="5">
        <v>0.4</v>
      </c>
      <c r="B12" s="9">
        <f t="shared" si="11"/>
        <v>10.4228</v>
      </c>
      <c r="C12" s="9">
        <f t="shared" si="12"/>
        <v>10.3632</v>
      </c>
      <c r="D12" s="9">
        <f t="shared" si="11"/>
        <v>9.822799999999999</v>
      </c>
      <c r="E12" s="9">
        <f t="shared" si="11"/>
        <v>9.2228</v>
      </c>
      <c r="F12" s="4">
        <f t="shared" si="13"/>
        <v>855.5</v>
      </c>
      <c r="G12" s="4">
        <f t="shared" si="13"/>
        <v>604.75</v>
      </c>
      <c r="H12" s="9">
        <f t="shared" si="0"/>
        <v>8.916705400000001</v>
      </c>
      <c r="I12" s="9">
        <f t="shared" si="1"/>
        <v>6.3031883</v>
      </c>
      <c r="J12" s="9">
        <f t="shared" si="3"/>
        <v>3.302483481481482</v>
      </c>
      <c r="K12" s="9">
        <f t="shared" si="4"/>
        <v>2.3345141851851854</v>
      </c>
      <c r="L12" s="9">
        <f t="shared" si="5"/>
        <v>5.9843660402684575</v>
      </c>
      <c r="M12" s="9">
        <f t="shared" si="6"/>
        <v>4.230327718120805</v>
      </c>
      <c r="N12" s="4">
        <f t="shared" si="7"/>
        <v>316.85185185185185</v>
      </c>
      <c r="O12" s="4">
        <f t="shared" si="2"/>
        <v>223.98148148148147</v>
      </c>
      <c r="P12" s="7">
        <f t="shared" si="8"/>
        <v>0.6666666666666667</v>
      </c>
      <c r="Q12" s="8">
        <f t="shared" si="14"/>
        <v>1.1299435028248588</v>
      </c>
      <c r="R12" s="4">
        <f t="shared" si="9"/>
        <v>574.1610738255033</v>
      </c>
      <c r="S12" s="4">
        <f t="shared" si="10"/>
        <v>405.8724832214765</v>
      </c>
    </row>
    <row r="13" spans="1:19" ht="12.75">
      <c r="A13" s="5">
        <v>0.45</v>
      </c>
      <c r="B13" s="9">
        <f t="shared" si="11"/>
        <v>9.350650000000002</v>
      </c>
      <c r="C13" s="9">
        <f t="shared" si="12"/>
        <v>9.283600000000002</v>
      </c>
      <c r="D13" s="9">
        <f t="shared" si="11"/>
        <v>8.800650000000001</v>
      </c>
      <c r="E13" s="9">
        <f t="shared" si="11"/>
        <v>8.250650000000002</v>
      </c>
      <c r="F13" s="4">
        <f t="shared" si="13"/>
        <v>933.2727272727273</v>
      </c>
      <c r="G13" s="4">
        <f t="shared" si="13"/>
        <v>659.7272727272726</v>
      </c>
      <c r="H13" s="9">
        <f t="shared" si="0"/>
        <v>8.726706627272728</v>
      </c>
      <c r="I13" s="9">
        <f t="shared" si="1"/>
        <v>6.168878822727272</v>
      </c>
      <c r="J13" s="9">
        <f t="shared" si="3"/>
        <v>3.2321135656565656</v>
      </c>
      <c r="K13" s="9">
        <f t="shared" si="4"/>
        <v>2.284769934343434</v>
      </c>
      <c r="L13" s="9">
        <f t="shared" si="5"/>
        <v>5.856850085417938</v>
      </c>
      <c r="M13" s="9">
        <f t="shared" si="6"/>
        <v>4.140187129347162</v>
      </c>
      <c r="N13" s="4">
        <f t="shared" si="7"/>
        <v>345.65656565656565</v>
      </c>
      <c r="O13" s="4">
        <f t="shared" si="2"/>
        <v>244.3434343434343</v>
      </c>
      <c r="P13" s="7">
        <f t="shared" si="8"/>
        <v>0.8181818181818181</v>
      </c>
      <c r="Q13" s="8">
        <f t="shared" si="14"/>
        <v>1.1299435028248588</v>
      </c>
      <c r="R13" s="4">
        <f t="shared" si="9"/>
        <v>626.3575350823672</v>
      </c>
      <c r="S13" s="4">
        <f t="shared" si="10"/>
        <v>442.76998169615615</v>
      </c>
    </row>
    <row r="14" spans="1:19" ht="12.75">
      <c r="A14" s="5">
        <v>0.5</v>
      </c>
      <c r="B14" s="9">
        <f t="shared" si="11"/>
        <v>8.2785</v>
      </c>
      <c r="C14" s="9">
        <f t="shared" si="12"/>
        <v>8.204</v>
      </c>
      <c r="D14" s="9">
        <f t="shared" si="11"/>
        <v>7.7785</v>
      </c>
      <c r="E14" s="9">
        <f t="shared" si="11"/>
        <v>7.2785</v>
      </c>
      <c r="F14" s="4">
        <f t="shared" si="13"/>
        <v>1026.6</v>
      </c>
      <c r="G14" s="4">
        <f t="shared" si="13"/>
        <v>725.6999999999999</v>
      </c>
      <c r="H14" s="9">
        <f t="shared" si="0"/>
        <v>8.498708099999998</v>
      </c>
      <c r="I14" s="9">
        <f t="shared" si="1"/>
        <v>6.007707449999999</v>
      </c>
      <c r="J14" s="9">
        <f t="shared" si="3"/>
        <v>3.147669666666666</v>
      </c>
      <c r="K14" s="9">
        <f t="shared" si="4"/>
        <v>2.2250768333333326</v>
      </c>
      <c r="L14" s="9">
        <f t="shared" si="5"/>
        <v>5.703830939597315</v>
      </c>
      <c r="M14" s="9">
        <f t="shared" si="6"/>
        <v>4.032018422818791</v>
      </c>
      <c r="N14" s="4">
        <f t="shared" si="7"/>
        <v>380.2222222222222</v>
      </c>
      <c r="O14" s="4">
        <f t="shared" si="2"/>
        <v>268.7777777777777</v>
      </c>
      <c r="P14" s="7">
        <f t="shared" si="8"/>
        <v>1</v>
      </c>
      <c r="Q14" s="8">
        <f t="shared" si="14"/>
        <v>1.1299435028248588</v>
      </c>
      <c r="R14" s="4">
        <f t="shared" si="9"/>
        <v>688.9932885906039</v>
      </c>
      <c r="S14" s="4">
        <f t="shared" si="10"/>
        <v>487.0469798657718</v>
      </c>
    </row>
    <row r="15" spans="1:19" ht="12.75">
      <c r="A15" s="5">
        <v>0.55</v>
      </c>
      <c r="B15" s="9">
        <f t="shared" si="11"/>
        <v>7.206349999999999</v>
      </c>
      <c r="C15" s="9">
        <f t="shared" si="12"/>
        <v>7.124399999999999</v>
      </c>
      <c r="D15" s="9">
        <f t="shared" si="11"/>
        <v>6.756349999999999</v>
      </c>
      <c r="E15" s="9">
        <f t="shared" si="11"/>
        <v>6.306349999999999</v>
      </c>
      <c r="F15" s="4">
        <f t="shared" si="13"/>
        <v>1140.6666666666667</v>
      </c>
      <c r="G15" s="4">
        <f t="shared" si="13"/>
        <v>806.3333333333334</v>
      </c>
      <c r="H15" s="9">
        <f t="shared" si="0"/>
        <v>8.220043233333332</v>
      </c>
      <c r="I15" s="9">
        <f t="shared" si="1"/>
        <v>5.810720216666666</v>
      </c>
      <c r="J15" s="9">
        <f t="shared" si="3"/>
        <v>3.0444604567901226</v>
      </c>
      <c r="K15" s="9">
        <f t="shared" si="4"/>
        <v>2.1521185987654317</v>
      </c>
      <c r="L15" s="9">
        <f t="shared" si="5"/>
        <v>5.516807539149887</v>
      </c>
      <c r="M15" s="9">
        <f t="shared" si="6"/>
        <v>3.8998122259507824</v>
      </c>
      <c r="N15" s="4">
        <f t="shared" si="7"/>
        <v>422.4691358024691</v>
      </c>
      <c r="O15" s="4">
        <f t="shared" si="2"/>
        <v>298.641975308642</v>
      </c>
      <c r="P15" s="7">
        <f t="shared" si="8"/>
        <v>1.2222222222222225</v>
      </c>
      <c r="Q15" s="8">
        <f t="shared" si="14"/>
        <v>1.1299435028248588</v>
      </c>
      <c r="R15" s="4">
        <f t="shared" si="9"/>
        <v>765.5480984340045</v>
      </c>
      <c r="S15" s="4">
        <f t="shared" si="10"/>
        <v>541.1633109619687</v>
      </c>
    </row>
    <row r="16" spans="1:19" ht="12.75">
      <c r="A16" s="5">
        <v>0.6</v>
      </c>
      <c r="B16" s="9">
        <f t="shared" si="11"/>
        <v>6.134200000000001</v>
      </c>
      <c r="C16" s="9">
        <f t="shared" si="12"/>
        <v>6.0448</v>
      </c>
      <c r="D16" s="9">
        <f t="shared" si="11"/>
        <v>5.7342</v>
      </c>
      <c r="E16" s="9">
        <f t="shared" si="11"/>
        <v>5.334200000000001</v>
      </c>
      <c r="F16" s="4">
        <f t="shared" si="13"/>
        <v>1283.25</v>
      </c>
      <c r="G16" s="4">
        <f t="shared" si="13"/>
        <v>907.125</v>
      </c>
      <c r="H16" s="9">
        <f t="shared" si="0"/>
        <v>7.871712150000001</v>
      </c>
      <c r="I16" s="9">
        <f t="shared" si="1"/>
        <v>5.564486175000001</v>
      </c>
      <c r="J16" s="9">
        <f t="shared" si="3"/>
        <v>2.915448944444445</v>
      </c>
      <c r="K16" s="9">
        <f t="shared" si="4"/>
        <v>2.060920805555556</v>
      </c>
      <c r="L16" s="9">
        <f t="shared" si="5"/>
        <v>5.283028288590605</v>
      </c>
      <c r="M16" s="9">
        <f t="shared" si="6"/>
        <v>3.734554479865772</v>
      </c>
      <c r="N16" s="4">
        <f t="shared" si="7"/>
        <v>475.27777777777777</v>
      </c>
      <c r="O16" s="4">
        <f t="shared" si="2"/>
        <v>335.9722222222222</v>
      </c>
      <c r="P16" s="7">
        <f t="shared" si="8"/>
        <v>1.4999999999999998</v>
      </c>
      <c r="Q16" s="8">
        <f t="shared" si="14"/>
        <v>1.1299435028248588</v>
      </c>
      <c r="R16" s="4">
        <f t="shared" si="9"/>
        <v>861.2416107382551</v>
      </c>
      <c r="S16" s="4">
        <f t="shared" si="10"/>
        <v>608.8087248322148</v>
      </c>
    </row>
    <row r="17" spans="1:19" ht="12.75">
      <c r="A17" s="5">
        <v>0.65</v>
      </c>
      <c r="B17" s="9">
        <f t="shared" si="11"/>
        <v>5.062049999999999</v>
      </c>
      <c r="C17" s="9">
        <f t="shared" si="12"/>
        <v>4.965199999999999</v>
      </c>
      <c r="D17" s="9">
        <f t="shared" si="11"/>
        <v>4.71205</v>
      </c>
      <c r="E17" s="9">
        <f t="shared" si="11"/>
        <v>4.362049999999999</v>
      </c>
      <c r="F17" s="4">
        <f t="shared" si="13"/>
        <v>1466.5714285714287</v>
      </c>
      <c r="G17" s="4">
        <f t="shared" si="13"/>
        <v>1036.7142857142858</v>
      </c>
      <c r="H17" s="9">
        <f t="shared" si="0"/>
        <v>7.423857899999999</v>
      </c>
      <c r="I17" s="9">
        <f t="shared" si="1"/>
        <v>5.247899549999999</v>
      </c>
      <c r="J17" s="9">
        <f t="shared" si="3"/>
        <v>2.7495769999999995</v>
      </c>
      <c r="K17" s="9">
        <f t="shared" si="4"/>
        <v>1.9436664999999993</v>
      </c>
      <c r="L17" s="9">
        <f t="shared" si="5"/>
        <v>4.982454966442952</v>
      </c>
      <c r="M17" s="9">
        <f t="shared" si="6"/>
        <v>3.522080234899328</v>
      </c>
      <c r="N17" s="4">
        <f t="shared" si="7"/>
        <v>543.1746031746031</v>
      </c>
      <c r="O17" s="4">
        <f t="shared" si="2"/>
        <v>383.968253968254</v>
      </c>
      <c r="P17" s="7">
        <f t="shared" si="8"/>
        <v>1.8571428571428574</v>
      </c>
      <c r="Q17" s="8">
        <f t="shared" si="14"/>
        <v>1.1299435028248588</v>
      </c>
      <c r="R17" s="4">
        <f t="shared" si="9"/>
        <v>984.2761265580058</v>
      </c>
      <c r="S17" s="4">
        <f t="shared" si="10"/>
        <v>695.7813998082455</v>
      </c>
    </row>
    <row r="18" spans="1:17" ht="12.75">
      <c r="A18" s="5"/>
      <c r="B18" s="9"/>
      <c r="C18" s="9"/>
      <c r="D18" s="9"/>
      <c r="E18" s="9"/>
      <c r="F18" s="4"/>
      <c r="G18" s="4"/>
      <c r="H18" s="9"/>
      <c r="I18" s="9"/>
      <c r="J18" s="9"/>
      <c r="K18" s="9"/>
      <c r="L18" s="9"/>
      <c r="M18" s="9"/>
      <c r="P18" s="7"/>
      <c r="Q18" s="8"/>
    </row>
    <row r="19" spans="1:17" ht="12.75">
      <c r="A19" s="5">
        <v>0.08</v>
      </c>
      <c r="B19" s="9">
        <f>B$4*(1-$A19)-2.443*$A19</f>
        <v>17.28456</v>
      </c>
      <c r="C19" s="9">
        <f>C$4*(1-$A19)-(2.258+0.334)*$A19</f>
        <v>17.27264</v>
      </c>
      <c r="D19" s="9"/>
      <c r="E19" s="9"/>
      <c r="F19" s="4">
        <f aca="true" t="shared" si="15" ref="F19:G22">(F$4/(1-$A19))/$Q19</f>
        <v>607.5514874141877</v>
      </c>
      <c r="G19" s="4">
        <f t="shared" si="15"/>
        <v>429.47605144796023</v>
      </c>
      <c r="H19" s="9">
        <f>B19*F19/1000</f>
        <v>10.501260137299772</v>
      </c>
      <c r="I19" s="9">
        <f>B19*G19/1000</f>
        <v>7.423304579815356</v>
      </c>
      <c r="J19" s="9"/>
      <c r="K19" s="9"/>
      <c r="L19" s="9"/>
      <c r="M19" s="9"/>
      <c r="P19" s="7">
        <f>A19/(1-A19)</f>
        <v>0.08695652173913043</v>
      </c>
      <c r="Q19" s="8">
        <f>1+($J$63/0.3)*P19</f>
        <v>1.0376647834274952</v>
      </c>
    </row>
    <row r="20" spans="1:17" ht="12.75">
      <c r="A20" s="5">
        <v>0.12</v>
      </c>
      <c r="B20" s="9">
        <f>B$4*(1-$A20)-2.443*$A20</f>
        <v>16.42684</v>
      </c>
      <c r="C20" s="9">
        <f>C$4*(1-$A20)-(2.258+0.334)*$A20</f>
        <v>16.40896</v>
      </c>
      <c r="D20" s="9"/>
      <c r="E20" s="9"/>
      <c r="F20" s="4">
        <f t="shared" si="15"/>
        <v>622.3326867119303</v>
      </c>
      <c r="G20" s="4">
        <f t="shared" si="15"/>
        <v>439.9248302618817</v>
      </c>
      <c r="H20" s="9">
        <f>B20*F20/1000</f>
        <v>10.222959471387004</v>
      </c>
      <c r="I20" s="9">
        <f>B20*G20/1000</f>
        <v>7.2265747987390885</v>
      </c>
      <c r="J20" s="9"/>
      <c r="K20" s="9"/>
      <c r="L20" s="9"/>
      <c r="M20" s="9"/>
      <c r="P20" s="7">
        <f>A20/(1-A20)</f>
        <v>0.13636363636363635</v>
      </c>
      <c r="Q20" s="8">
        <f>1+($J$63/0.3)*P20</f>
        <v>1.059065228556754</v>
      </c>
    </row>
    <row r="21" spans="1:17" ht="12.75">
      <c r="A21" s="5">
        <v>0.27</v>
      </c>
      <c r="B21" s="9">
        <f>B$4*(1-$A21)-2.443*$A21</f>
        <v>13.210389999999999</v>
      </c>
      <c r="C21" s="9">
        <f>C$4*(1-$A21)-(2.258+0.334)*$A21</f>
        <v>13.17016</v>
      </c>
      <c r="D21" s="9"/>
      <c r="E21" s="9"/>
      <c r="F21" s="4">
        <f t="shared" si="15"/>
        <v>703.1506849315068</v>
      </c>
      <c r="G21" s="4">
        <f t="shared" si="15"/>
        <v>497.054794520548</v>
      </c>
      <c r="H21" s="9">
        <f>B21*F21/1000</f>
        <v>9.288894776712327</v>
      </c>
      <c r="I21" s="9">
        <f>B21*G21/1000</f>
        <v>6.566287686986302</v>
      </c>
      <c r="J21" s="9"/>
      <c r="K21" s="9"/>
      <c r="L21" s="9"/>
      <c r="M21" s="9"/>
      <c r="P21" s="7">
        <f>A21/(1-A21)</f>
        <v>0.36986301369863017</v>
      </c>
      <c r="Q21" s="8">
        <f>1+($J$63)</f>
        <v>1.1299435028248588</v>
      </c>
    </row>
    <row r="22" spans="1:17" ht="12.75">
      <c r="A22" s="5">
        <v>0.62</v>
      </c>
      <c r="B22" s="1">
        <f>B$4*(1-$A22)-2.443*$A22</f>
        <v>5.70534</v>
      </c>
      <c r="C22" s="9">
        <f>C$4*(1-$A22)-(2.258+0.334)*$A22</f>
        <v>5.612959999999999</v>
      </c>
      <c r="F22" s="4">
        <f t="shared" si="15"/>
        <v>1350.7894736842104</v>
      </c>
      <c r="G22" s="4">
        <f t="shared" si="15"/>
        <v>954.8684210526317</v>
      </c>
      <c r="P22" s="7">
        <f>A22/(1-A22)</f>
        <v>1.631578947368421</v>
      </c>
      <c r="Q22" s="8">
        <f>1+($J$63)</f>
        <v>1.1299435028248588</v>
      </c>
    </row>
    <row r="45" spans="1:9" ht="12.75">
      <c r="A45" t="s">
        <v>29</v>
      </c>
      <c r="B45" t="s">
        <v>15</v>
      </c>
      <c r="D45" t="s">
        <v>15</v>
      </c>
      <c r="E45" t="s">
        <v>10</v>
      </c>
      <c r="F45" t="s">
        <v>10</v>
      </c>
      <c r="G45" t="s">
        <v>16</v>
      </c>
      <c r="H45" t="s">
        <v>16</v>
      </c>
      <c r="I45" t="s">
        <v>16</v>
      </c>
    </row>
    <row r="46" spans="2:9" ht="12.75">
      <c r="B46" t="s">
        <v>12</v>
      </c>
      <c r="D46" t="s">
        <v>12</v>
      </c>
      <c r="E46" t="s">
        <v>12</v>
      </c>
      <c r="F46" t="s">
        <v>12</v>
      </c>
      <c r="G46" t="s">
        <v>14</v>
      </c>
      <c r="H46" t="s">
        <v>13</v>
      </c>
      <c r="I46" t="s">
        <v>30</v>
      </c>
    </row>
    <row r="47" spans="1:9" ht="12.75">
      <c r="A47" t="s">
        <v>21</v>
      </c>
      <c r="B47" t="s">
        <v>8</v>
      </c>
      <c r="D47" t="s">
        <v>9</v>
      </c>
      <c r="E47" t="s">
        <v>8</v>
      </c>
      <c r="F47" t="s">
        <v>9</v>
      </c>
      <c r="G47" t="s">
        <v>11</v>
      </c>
      <c r="H47" t="s">
        <v>11</v>
      </c>
      <c r="I47" t="s">
        <v>11</v>
      </c>
    </row>
    <row r="48" spans="1:9" ht="12.75">
      <c r="A48" s="3">
        <v>20000</v>
      </c>
      <c r="B48" s="1">
        <f>($A48*3.6/$B$4)/1000</f>
        <v>3.789473684210526</v>
      </c>
      <c r="C48" s="1"/>
      <c r="D48" s="2">
        <f aca="true" t="shared" si="16" ref="D48:D56">($B48/(($F$4+$G$4)/2000))*2.7</f>
        <v>20.669856459330145</v>
      </c>
      <c r="E48" s="1">
        <f>($A48*3.6/$B$10)/1000</f>
        <v>5.729245410635708</v>
      </c>
      <c r="F48" s="2">
        <f aca="true" t="shared" si="17" ref="F48:F56">($E48/(($F$10+$G$10)/2000))*2.7</f>
        <v>24.71785385174111</v>
      </c>
      <c r="G48" s="1">
        <f aca="true" t="shared" si="18" ref="G48:G56">$E48/$B$63</f>
        <v>2.0052358937224977</v>
      </c>
      <c r="H48" s="1">
        <f aca="true" t="shared" si="19" ref="H48:H56">($A48*3.6/$B$10)/($D$63*1000)</f>
        <v>0.6365828234039675</v>
      </c>
      <c r="I48" s="1">
        <f aca="true" t="shared" si="20" ref="I48:I56">($A48*3.6/$D$9)/($F$63*1000)</f>
        <v>0.42969618390996667</v>
      </c>
    </row>
    <row r="49" spans="1:9" ht="12.75">
      <c r="A49" s="3">
        <v>140000</v>
      </c>
      <c r="B49" s="1">
        <f aca="true" t="shared" si="21" ref="B49:B56">($A49*3.6/$B$4)/1000</f>
        <v>26.526315789473685</v>
      </c>
      <c r="C49" s="1"/>
      <c r="D49" s="2">
        <f t="shared" si="16"/>
        <v>144.68899521531102</v>
      </c>
      <c r="E49" s="1">
        <f aca="true" t="shared" si="22" ref="E49:E56">($A49*3.6/$B$10)/1000</f>
        <v>40.10471787444996</v>
      </c>
      <c r="F49" s="2">
        <f t="shared" si="17"/>
        <v>173.0249769621878</v>
      </c>
      <c r="G49" s="1">
        <f t="shared" si="18"/>
        <v>14.036651256057485</v>
      </c>
      <c r="H49" s="1">
        <f t="shared" si="19"/>
        <v>4.456079763827773</v>
      </c>
      <c r="I49" s="1">
        <f t="shared" si="20"/>
        <v>3.007873287369767</v>
      </c>
    </row>
    <row r="50" spans="1:9" ht="12.75">
      <c r="A50" s="3">
        <v>400000</v>
      </c>
      <c r="B50" s="1">
        <f t="shared" si="21"/>
        <v>75.78947368421052</v>
      </c>
      <c r="C50" s="1"/>
      <c r="D50" s="2">
        <f t="shared" si="16"/>
        <v>413.3971291866029</v>
      </c>
      <c r="E50" s="1">
        <f t="shared" si="22"/>
        <v>114.58490821271417</v>
      </c>
      <c r="F50" s="2">
        <f t="shared" si="17"/>
        <v>494.3570770348223</v>
      </c>
      <c r="G50" s="1">
        <f t="shared" si="18"/>
        <v>40.10471787444996</v>
      </c>
      <c r="H50" s="1">
        <f t="shared" si="19"/>
        <v>12.731656468079352</v>
      </c>
      <c r="I50" s="1">
        <f t="shared" si="20"/>
        <v>8.593923678199333</v>
      </c>
    </row>
    <row r="51" spans="1:9" ht="12.75">
      <c r="A51" s="3">
        <v>660000</v>
      </c>
      <c r="B51" s="1">
        <f t="shared" si="21"/>
        <v>125.05263157894737</v>
      </c>
      <c r="C51" s="1"/>
      <c r="D51" s="2">
        <f t="shared" si="16"/>
        <v>682.1052631578948</v>
      </c>
      <c r="E51" s="1">
        <f t="shared" si="22"/>
        <v>189.06509855097838</v>
      </c>
      <c r="F51" s="2">
        <f t="shared" si="17"/>
        <v>815.6891771074568</v>
      </c>
      <c r="G51" s="1">
        <f t="shared" si="18"/>
        <v>66.17278449284242</v>
      </c>
      <c r="H51" s="1">
        <f t="shared" si="19"/>
        <v>21.00723317233093</v>
      </c>
      <c r="I51" s="1">
        <f t="shared" si="20"/>
        <v>14.1799740690289</v>
      </c>
    </row>
    <row r="52" spans="1:9" ht="12.75">
      <c r="A52" s="3">
        <v>360000</v>
      </c>
      <c r="B52" s="1">
        <f t="shared" si="21"/>
        <v>68.21052631578948</v>
      </c>
      <c r="C52" s="1"/>
      <c r="D52" s="2">
        <f t="shared" si="16"/>
        <v>372.05741626794264</v>
      </c>
      <c r="E52" s="1">
        <f t="shared" si="22"/>
        <v>103.12641739144276</v>
      </c>
      <c r="F52" s="2">
        <f t="shared" si="17"/>
        <v>444.9213693313401</v>
      </c>
      <c r="G52" s="1">
        <f t="shared" si="18"/>
        <v>36.09424608700496</v>
      </c>
      <c r="H52" s="1">
        <f t="shared" si="19"/>
        <v>11.458490821271416</v>
      </c>
      <c r="I52" s="1">
        <f t="shared" si="20"/>
        <v>7.734531310379401</v>
      </c>
    </row>
    <row r="53" spans="1:9" ht="12.75">
      <c r="A53" s="3">
        <v>600000</v>
      </c>
      <c r="B53" s="1">
        <f t="shared" si="21"/>
        <v>113.68421052631578</v>
      </c>
      <c r="C53" s="1"/>
      <c r="D53" s="2">
        <f t="shared" si="16"/>
        <v>620.0956937799043</v>
      </c>
      <c r="E53" s="1">
        <f t="shared" si="22"/>
        <v>171.87736231907127</v>
      </c>
      <c r="F53" s="2">
        <f t="shared" si="17"/>
        <v>741.5356155522336</v>
      </c>
      <c r="G53" s="1">
        <f t="shared" si="18"/>
        <v>60.15707681167494</v>
      </c>
      <c r="H53" s="1">
        <f t="shared" si="19"/>
        <v>19.09748470211903</v>
      </c>
      <c r="I53" s="1">
        <f t="shared" si="20"/>
        <v>12.890885517299001</v>
      </c>
    </row>
    <row r="54" spans="1:9" ht="12.75">
      <c r="A54" s="3">
        <v>1000000</v>
      </c>
      <c r="B54" s="1">
        <f t="shared" si="21"/>
        <v>189.47368421052633</v>
      </c>
      <c r="C54" s="1"/>
      <c r="D54" s="2">
        <f t="shared" si="16"/>
        <v>1033.4928229665072</v>
      </c>
      <c r="E54" s="1">
        <f t="shared" si="22"/>
        <v>286.46227053178546</v>
      </c>
      <c r="F54" s="2">
        <f t="shared" si="17"/>
        <v>1235.892692587056</v>
      </c>
      <c r="G54" s="1">
        <f t="shared" si="18"/>
        <v>100.26179468612492</v>
      </c>
      <c r="H54" s="1">
        <f t="shared" si="19"/>
        <v>31.829141170198383</v>
      </c>
      <c r="I54" s="1">
        <f t="shared" si="20"/>
        <v>21.484809195498336</v>
      </c>
    </row>
    <row r="55" spans="1:9" ht="12.75">
      <c r="A55" s="3">
        <v>4200000</v>
      </c>
      <c r="B55" s="1">
        <f t="shared" si="21"/>
        <v>795.7894736842105</v>
      </c>
      <c r="C55" s="1"/>
      <c r="D55" s="2">
        <f t="shared" si="16"/>
        <v>4340.669856459331</v>
      </c>
      <c r="E55" s="1">
        <f t="shared" si="22"/>
        <v>1203.1415362334988</v>
      </c>
      <c r="F55" s="2">
        <f t="shared" si="17"/>
        <v>5190.749308865634</v>
      </c>
      <c r="G55" s="1">
        <f t="shared" si="18"/>
        <v>421.09953768172454</v>
      </c>
      <c r="H55" s="1">
        <f t="shared" si="19"/>
        <v>133.6823929148332</v>
      </c>
      <c r="I55" s="1">
        <f t="shared" si="20"/>
        <v>90.23619862109301</v>
      </c>
    </row>
    <row r="56" spans="1:9" ht="12.75">
      <c r="A56" s="3">
        <v>16000000</v>
      </c>
      <c r="B56" s="1">
        <f t="shared" si="21"/>
        <v>3031.5789473684213</v>
      </c>
      <c r="C56" s="1"/>
      <c r="D56" s="2">
        <f t="shared" si="16"/>
        <v>16535.885167464116</v>
      </c>
      <c r="E56" s="1">
        <f t="shared" si="22"/>
        <v>4583.396328508567</v>
      </c>
      <c r="F56" s="2">
        <f t="shared" si="17"/>
        <v>19774.283081392896</v>
      </c>
      <c r="G56" s="1">
        <f t="shared" si="18"/>
        <v>1604.1887149779986</v>
      </c>
      <c r="H56" s="1">
        <f t="shared" si="19"/>
        <v>509.26625872317413</v>
      </c>
      <c r="I56" s="1">
        <f t="shared" si="20"/>
        <v>343.7569471279734</v>
      </c>
    </row>
    <row r="60" spans="1:11" ht="12.75">
      <c r="A60" t="s">
        <v>22</v>
      </c>
      <c r="B60" t="s">
        <v>24</v>
      </c>
      <c r="D60" t="s">
        <v>26</v>
      </c>
      <c r="E60" t="s">
        <v>28</v>
      </c>
      <c r="F60" t="s">
        <v>27</v>
      </c>
      <c r="G60" t="s">
        <v>32</v>
      </c>
      <c r="H60" t="s">
        <v>37</v>
      </c>
      <c r="I60" t="s">
        <v>81</v>
      </c>
      <c r="J60" t="s">
        <v>58</v>
      </c>
      <c r="K60" t="s">
        <v>75</v>
      </c>
    </row>
    <row r="61" spans="1:9" ht="12.75">
      <c r="A61" t="s">
        <v>23</v>
      </c>
      <c r="B61" t="s">
        <v>25</v>
      </c>
      <c r="D61" t="s">
        <v>23</v>
      </c>
      <c r="E61" t="s">
        <v>25</v>
      </c>
      <c r="F61" t="s">
        <v>23</v>
      </c>
      <c r="G61" t="s">
        <v>31</v>
      </c>
      <c r="H61" t="s">
        <v>38</v>
      </c>
      <c r="I61" t="s">
        <v>38</v>
      </c>
    </row>
    <row r="63" spans="1:11" ht="12.75">
      <c r="A63">
        <v>2</v>
      </c>
      <c r="B63" s="1">
        <f>A63/0.7</f>
        <v>2.857142857142857</v>
      </c>
      <c r="C63" s="1"/>
      <c r="D63">
        <v>9</v>
      </c>
      <c r="E63" s="1">
        <f>D63/0.7</f>
        <v>12.857142857142858</v>
      </c>
      <c r="F63">
        <v>13</v>
      </c>
      <c r="G63" s="1">
        <f>F63/0.75</f>
        <v>17.333333333333332</v>
      </c>
      <c r="H63">
        <v>2.7</v>
      </c>
      <c r="I63">
        <v>1.49</v>
      </c>
      <c r="J63" s="7">
        <f>K63/(1-K63)</f>
        <v>0.12994350282485875</v>
      </c>
      <c r="K63" s="7">
        <v>0.115</v>
      </c>
    </row>
    <row r="65" spans="2:6" ht="12.75">
      <c r="B65" s="6" t="s">
        <v>75</v>
      </c>
      <c r="C65" s="6"/>
      <c r="D65" s="6" t="s">
        <v>60</v>
      </c>
      <c r="F65" s="6" t="s">
        <v>76</v>
      </c>
    </row>
    <row r="66" spans="1:6" ht="12.75">
      <c r="A66" t="s">
        <v>61</v>
      </c>
      <c r="B66" s="7">
        <v>0.114</v>
      </c>
      <c r="C66" s="7"/>
      <c r="D66" s="7">
        <f>B66/(1-B66)</f>
        <v>0.12866817155756208</v>
      </c>
      <c r="F66" s="7">
        <v>0.27</v>
      </c>
    </row>
    <row r="67" spans="1:6" ht="12.75">
      <c r="A67" t="s">
        <v>62</v>
      </c>
      <c r="B67" s="7">
        <v>0.115</v>
      </c>
      <c r="C67" s="7"/>
      <c r="D67" s="7">
        <f aca="true" t="shared" si="23" ref="D67:D79">B67/(1-B67)</f>
        <v>0.12994350282485875</v>
      </c>
      <c r="F67" s="7">
        <v>0.28</v>
      </c>
    </row>
    <row r="68" spans="1:6" ht="12.75">
      <c r="A68" t="s">
        <v>63</v>
      </c>
      <c r="B68" s="7">
        <v>0.115</v>
      </c>
      <c r="C68" s="7"/>
      <c r="D68" s="7">
        <f t="shared" si="23"/>
        <v>0.12994350282485875</v>
      </c>
      <c r="F68" s="7">
        <v>0.24</v>
      </c>
    </row>
    <row r="69" spans="1:6" ht="12.75">
      <c r="A69" t="s">
        <v>64</v>
      </c>
      <c r="B69" s="7">
        <v>0.115</v>
      </c>
      <c r="C69" s="7"/>
      <c r="D69" s="7">
        <f t="shared" si="23"/>
        <v>0.12994350282485875</v>
      </c>
      <c r="F69" s="7">
        <v>0.23</v>
      </c>
    </row>
    <row r="70" spans="1:6" ht="12.75">
      <c r="A70" t="s">
        <v>65</v>
      </c>
      <c r="B70" s="7">
        <v>0.118</v>
      </c>
      <c r="C70" s="7"/>
      <c r="D70" s="7">
        <f t="shared" si="23"/>
        <v>0.13378684807256236</v>
      </c>
      <c r="F70" s="7">
        <v>0.28</v>
      </c>
    </row>
    <row r="71" spans="1:6" ht="12.75">
      <c r="A71" t="s">
        <v>66</v>
      </c>
      <c r="B71" s="7">
        <v>0.125</v>
      </c>
      <c r="C71" s="7"/>
      <c r="D71" s="7">
        <f t="shared" si="23"/>
        <v>0.14285714285714285</v>
      </c>
      <c r="F71" s="7">
        <v>0.28</v>
      </c>
    </row>
    <row r="72" spans="1:6" ht="12.75">
      <c r="A72" t="s">
        <v>67</v>
      </c>
      <c r="B72" s="7">
        <v>0.132</v>
      </c>
      <c r="C72" s="7"/>
      <c r="D72" s="7">
        <f t="shared" si="23"/>
        <v>0.15207373271889402</v>
      </c>
      <c r="F72" s="7">
        <v>0.26</v>
      </c>
    </row>
    <row r="73" spans="1:6" ht="12.75">
      <c r="A73" t="s">
        <v>68</v>
      </c>
      <c r="B73" s="7">
        <v>0.134</v>
      </c>
      <c r="C73" s="7"/>
      <c r="D73" s="7">
        <f t="shared" si="23"/>
        <v>0.15473441108545036</v>
      </c>
      <c r="F73" s="7">
        <v>0.22</v>
      </c>
    </row>
    <row r="74" spans="1:6" ht="12.75">
      <c r="A74" t="s">
        <v>69</v>
      </c>
      <c r="B74" s="7">
        <v>0.134</v>
      </c>
      <c r="C74" s="7"/>
      <c r="D74" s="7">
        <f t="shared" si="23"/>
        <v>0.15473441108545036</v>
      </c>
      <c r="F74" s="7"/>
    </row>
    <row r="75" spans="1:6" ht="12.75">
      <c r="A75" t="s">
        <v>70</v>
      </c>
      <c r="B75" s="7">
        <v>0.137</v>
      </c>
      <c r="C75" s="7"/>
      <c r="D75" s="7">
        <f t="shared" si="23"/>
        <v>0.15874855156431056</v>
      </c>
      <c r="F75" s="7">
        <v>0.2</v>
      </c>
    </row>
    <row r="76" spans="1:6" ht="12.75">
      <c r="A76" t="s">
        <v>71</v>
      </c>
      <c r="B76" s="7">
        <v>0.139</v>
      </c>
      <c r="C76" s="7"/>
      <c r="D76" s="7">
        <f t="shared" si="23"/>
        <v>0.16144018583042974</v>
      </c>
      <c r="F76" s="7">
        <v>0.25</v>
      </c>
    </row>
    <row r="77" spans="1:6" ht="12.75">
      <c r="A77" t="s">
        <v>72</v>
      </c>
      <c r="B77" s="7">
        <v>0.142</v>
      </c>
      <c r="C77" s="7"/>
      <c r="D77" s="7">
        <f t="shared" si="23"/>
        <v>0.16550116550116548</v>
      </c>
      <c r="F77" s="7">
        <v>0.24</v>
      </c>
    </row>
    <row r="78" spans="1:6" ht="12.75">
      <c r="A78" t="s">
        <v>73</v>
      </c>
      <c r="B78" s="7">
        <v>0.173</v>
      </c>
      <c r="C78" s="7"/>
      <c r="D78" s="7">
        <f t="shared" si="23"/>
        <v>0.20918984280532044</v>
      </c>
      <c r="F78" s="7">
        <v>0.22</v>
      </c>
    </row>
    <row r="79" spans="1:6" ht="12.75">
      <c r="A79" t="s">
        <v>74</v>
      </c>
      <c r="B79" s="7">
        <v>0.188</v>
      </c>
      <c r="C79" s="7"/>
      <c r="D79" s="7">
        <f t="shared" si="23"/>
        <v>0.2315270935960591</v>
      </c>
      <c r="F79" s="7"/>
    </row>
    <row r="80" spans="1:6" ht="12.75">
      <c r="A80" t="s">
        <v>77</v>
      </c>
      <c r="D80" s="7"/>
      <c r="F80" s="7">
        <v>0.22</v>
      </c>
    </row>
    <row r="81" spans="1:6" ht="12.75">
      <c r="A81" t="s">
        <v>78</v>
      </c>
      <c r="D81" s="7"/>
      <c r="F81" s="7">
        <v>0.29</v>
      </c>
    </row>
    <row r="82" ht="12.75">
      <c r="D82" s="7"/>
    </row>
    <row r="83" spans="2:4" ht="12.75">
      <c r="B83" s="7">
        <f>AVERAGE(B66:B79)</f>
        <v>0.13435714285714284</v>
      </c>
      <c r="C83" s="7"/>
      <c r="D83" s="7">
        <f>B83/(1-B83)</f>
        <v>0.15521082597574054</v>
      </c>
    </row>
  </sheetData>
  <sheetProtection/>
  <printOptions/>
  <pageMargins left="0.3937007874015748" right="0.3937007874015748" top="0.3937007874015748" bottom="0.3937007874015748" header="0.3937007874015748" footer="0.3937007874015748"/>
  <pageSetup firstPageNumber="1" useFirstPageNumber="1" horizontalDpi="600" verticalDpi="600" orientation="landscape" pageOrder="overThenDown" paperSize="9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:IV9"/>
    </sheetView>
  </sheetViews>
  <sheetFormatPr defaultColWidth="11.8515625" defaultRowHeight="12.75"/>
  <cols>
    <col min="1" max="8" width="11.8515625" style="0" customWidth="1"/>
    <col min="9" max="10" width="37.421875" style="0" bestFit="1" customWidth="1"/>
    <col min="11" max="11" width="37.140625" style="0" bestFit="1" customWidth="1"/>
    <col min="12" max="12" width="45.7109375" style="0" bestFit="1" customWidth="1"/>
    <col min="13" max="13" width="45.00390625" style="0" bestFit="1" customWidth="1"/>
    <col min="14" max="14" width="26.7109375" style="0" bestFit="1" customWidth="1"/>
    <col min="15" max="15" width="26.00390625" style="0" bestFit="1" customWidth="1"/>
    <col min="16" max="16" width="18.28125" style="0" bestFit="1" customWidth="1"/>
    <col min="17" max="17" width="20.8515625" style="0" bestFit="1" customWidth="1"/>
    <col min="18" max="18" width="33.421875" style="0" bestFit="1" customWidth="1"/>
    <col min="19" max="19" width="32.421875" style="0" bestFit="1" customWidth="1"/>
    <col min="20" max="20" width="18.28125" style="0" bestFit="1" customWidth="1"/>
  </cols>
  <sheetData>
    <row r="1" spans="1:20" s="6" customFormat="1" ht="15">
      <c r="A1" s="6" t="s">
        <v>52</v>
      </c>
      <c r="B1" s="6" t="s">
        <v>42</v>
      </c>
      <c r="C1" s="6" t="s">
        <v>39</v>
      </c>
      <c r="D1" s="6" t="s">
        <v>43</v>
      </c>
      <c r="E1" s="6" t="s">
        <v>44</v>
      </c>
      <c r="F1" s="6" t="s">
        <v>35</v>
      </c>
      <c r="G1" s="6" t="s">
        <v>34</v>
      </c>
      <c r="H1" s="6" t="s">
        <v>45</v>
      </c>
      <c r="I1" s="6" t="s">
        <v>4</v>
      </c>
      <c r="J1" s="6" t="s">
        <v>46</v>
      </c>
      <c r="K1" s="6" t="s">
        <v>5</v>
      </c>
      <c r="L1" s="6" t="s">
        <v>6</v>
      </c>
      <c r="M1" s="6" t="s">
        <v>7</v>
      </c>
      <c r="N1" s="6" t="s">
        <v>49</v>
      </c>
      <c r="O1" s="6" t="s">
        <v>50</v>
      </c>
      <c r="P1" s="6" t="s">
        <v>52</v>
      </c>
      <c r="Q1" s="6" t="s">
        <v>59</v>
      </c>
      <c r="R1" s="6" t="s">
        <v>79</v>
      </c>
      <c r="S1" s="6" t="s">
        <v>80</v>
      </c>
      <c r="T1" s="6" t="s">
        <v>52</v>
      </c>
    </row>
    <row r="2" spans="1:20" s="6" customFormat="1" ht="12.75">
      <c r="A2" s="6" t="s">
        <v>51</v>
      </c>
      <c r="B2" s="6" t="s">
        <v>53</v>
      </c>
      <c r="C2" s="6" t="s">
        <v>82</v>
      </c>
      <c r="D2" s="6" t="s">
        <v>53</v>
      </c>
      <c r="E2" s="6" t="s">
        <v>53</v>
      </c>
      <c r="F2" s="6" t="s">
        <v>54</v>
      </c>
      <c r="G2" s="6" t="s">
        <v>54</v>
      </c>
      <c r="H2" s="6" t="s">
        <v>55</v>
      </c>
      <c r="I2" s="6" t="s">
        <v>55</v>
      </c>
      <c r="J2" s="6" t="s">
        <v>55</v>
      </c>
      <c r="K2" s="6" t="s">
        <v>55</v>
      </c>
      <c r="L2" s="6" t="s">
        <v>55</v>
      </c>
      <c r="M2" s="6" t="s">
        <v>55</v>
      </c>
      <c r="N2" s="6" t="s">
        <v>56</v>
      </c>
      <c r="O2" s="6" t="s">
        <v>56</v>
      </c>
      <c r="P2" s="6" t="s">
        <v>57</v>
      </c>
      <c r="R2" s="6" t="s">
        <v>56</v>
      </c>
      <c r="S2" s="6" t="s">
        <v>56</v>
      </c>
      <c r="T2" s="6" t="s">
        <v>51</v>
      </c>
    </row>
    <row r="3" spans="1:20" s="6" customFormat="1" ht="12.75">
      <c r="A3" s="6" t="s">
        <v>36</v>
      </c>
      <c r="B3" s="6" t="s">
        <v>19</v>
      </c>
      <c r="C3" s="6" t="s">
        <v>19</v>
      </c>
      <c r="D3" s="6" t="s">
        <v>19</v>
      </c>
      <c r="E3" s="6" t="s">
        <v>19</v>
      </c>
      <c r="F3" s="6" t="s">
        <v>33</v>
      </c>
      <c r="G3" s="6" t="s">
        <v>33</v>
      </c>
      <c r="H3" s="6" t="s">
        <v>20</v>
      </c>
      <c r="I3" s="6" t="s">
        <v>20</v>
      </c>
      <c r="J3" s="6" t="s">
        <v>20</v>
      </c>
      <c r="K3" s="6" t="s">
        <v>20</v>
      </c>
      <c r="L3" s="6" t="s">
        <v>20</v>
      </c>
      <c r="M3" s="6" t="s">
        <v>20</v>
      </c>
      <c r="N3" s="6" t="s">
        <v>33</v>
      </c>
      <c r="O3" s="6" t="s">
        <v>33</v>
      </c>
      <c r="P3" s="6" t="s">
        <v>36</v>
      </c>
      <c r="R3" s="6" t="s">
        <v>33</v>
      </c>
      <c r="S3" s="6" t="s">
        <v>33</v>
      </c>
      <c r="T3" s="6" t="s">
        <v>36</v>
      </c>
    </row>
    <row r="4" spans="1:20" ht="12.75">
      <c r="A4" s="5">
        <v>0</v>
      </c>
      <c r="B4" s="9">
        <f>('net CV in GJ'!B4)/3.6</f>
        <v>5.277777777777778</v>
      </c>
      <c r="C4" s="9">
        <f>('net CV in GJ'!C4)/3.6</f>
        <v>5.277777777777778</v>
      </c>
      <c r="D4" s="9">
        <f>('net CV in GJ'!D4)/3.6</f>
        <v>5</v>
      </c>
      <c r="E4" s="9">
        <f>('net CV in GJ'!E4)/3.6</f>
        <v>4.722222222222222</v>
      </c>
      <c r="F4" s="4">
        <f>'net CV in GJ'!F4</f>
        <v>580</v>
      </c>
      <c r="G4" s="4">
        <f>'net CV in GJ'!G4</f>
        <v>410</v>
      </c>
      <c r="H4" s="9">
        <f aca="true" t="shared" si="0" ref="H4:H17">B4*F4/1000</f>
        <v>3.061111111111111</v>
      </c>
      <c r="I4" s="9">
        <f aca="true" t="shared" si="1" ref="I4:I17">B4*G4/1000</f>
        <v>2.1638888888888888</v>
      </c>
      <c r="J4" s="1">
        <f>H4/$H$48</f>
        <v>1.133744855967078</v>
      </c>
      <c r="K4" s="1">
        <f>I4/$H$48</f>
        <v>0.8014403292181069</v>
      </c>
      <c r="L4" s="9">
        <f>H4/$I$48</f>
        <v>2.054436987322893</v>
      </c>
      <c r="M4" s="9">
        <f>I4/$I$48</f>
        <v>1.4522744220730797</v>
      </c>
      <c r="N4" s="4">
        <f>F4/$H$48</f>
        <v>214.8148148148148</v>
      </c>
      <c r="O4" s="4">
        <f>G4/$H$48</f>
        <v>151.85185185185185</v>
      </c>
      <c r="P4" s="7">
        <f>A4/(1-A4)</f>
        <v>0</v>
      </c>
      <c r="Q4" s="8">
        <f>1+($J$48/0.3)*P4</f>
        <v>1</v>
      </c>
      <c r="R4" s="4">
        <f>F4/$I$48</f>
        <v>389.26174496644296</v>
      </c>
      <c r="S4" s="4">
        <f>G4/$I$48</f>
        <v>275.1677852348993</v>
      </c>
      <c r="T4" s="5">
        <v>0</v>
      </c>
    </row>
    <row r="5" spans="1:20" ht="12.75">
      <c r="A5" s="5">
        <v>0.05</v>
      </c>
      <c r="B5" s="9">
        <f>B$4*(1-$A5)-0.679*$A5</f>
        <v>4.9799388888888885</v>
      </c>
      <c r="C5" s="9">
        <f>C$4*(1-$A5)-(0.627+0.093)*$A5</f>
        <v>4.977888888888889</v>
      </c>
      <c r="D5" s="9">
        <f>D$4*(1-$A5)-0.679*$A5</f>
        <v>4.71605</v>
      </c>
      <c r="E5" s="9">
        <f>E$4*(1-$A5)-0.679*$A5</f>
        <v>4.452161111111111</v>
      </c>
      <c r="F5" s="4">
        <f>(F$4/(1-$A5))/$Q5</f>
        <v>596.9183060374069</v>
      </c>
      <c r="G5" s="4">
        <f>(G$4/(1-$A5))/$Q5</f>
        <v>421.95949219885654</v>
      </c>
      <c r="H5" s="9">
        <f t="shared" si="0"/>
        <v>2.9726166857253618</v>
      </c>
      <c r="I5" s="9">
        <f t="shared" si="1"/>
        <v>2.101332484736893</v>
      </c>
      <c r="J5" s="1">
        <f aca="true" t="shared" si="2" ref="J5:J17">H5/$H$48</f>
        <v>1.100969142861245</v>
      </c>
      <c r="K5" s="1">
        <f aca="true" t="shared" si="3" ref="K5:K17">I5/$H$48</f>
        <v>0.7782712906432937</v>
      </c>
      <c r="L5" s="9">
        <f aca="true" t="shared" si="4" ref="L5:L17">H5/$I$48</f>
        <v>1.995044755520377</v>
      </c>
      <c r="M5" s="9">
        <f aca="true" t="shared" si="5" ref="M5:M17">I5/$I$48</f>
        <v>1.41029025821268</v>
      </c>
      <c r="N5" s="4">
        <f aca="true" t="shared" si="6" ref="N5:N17">F5/$H$48</f>
        <v>221.08085408792846</v>
      </c>
      <c r="O5" s="4">
        <f aca="true" t="shared" si="7" ref="O5:O17">G5/$H$48</f>
        <v>156.2812934069839</v>
      </c>
      <c r="P5" s="7">
        <f aca="true" t="shared" si="8" ref="P5:P17">A5/(1-A5)</f>
        <v>0.052631578947368425</v>
      </c>
      <c r="Q5" s="8">
        <f>1+($J$48/0.3)*P5</f>
        <v>1.022797105758747</v>
      </c>
      <c r="R5" s="4">
        <f aca="true" t="shared" si="9" ref="R5:R17">F5/$I$48</f>
        <v>400.61631277678316</v>
      </c>
      <c r="S5" s="4">
        <f aca="true" t="shared" si="10" ref="S5:S17">G5/$I$48</f>
        <v>283.1942900663467</v>
      </c>
      <c r="T5" s="5">
        <v>0.05</v>
      </c>
    </row>
    <row r="6" spans="1:20" ht="12.75">
      <c r="A6" s="5">
        <v>0.1</v>
      </c>
      <c r="B6" s="9">
        <f aca="true" t="shared" si="11" ref="B6:B17">B$4*(1-$A6)-0.679*$A6</f>
        <v>4.6821</v>
      </c>
      <c r="C6" s="9">
        <f aca="true" t="shared" si="12" ref="C6:C17">C$4*(1-$A6)-(0.627+0.093)*$A6</f>
        <v>4.678</v>
      </c>
      <c r="D6" s="9">
        <f aca="true" t="shared" si="13" ref="D6:D17">D$4*(1-$A6)-0.679*$A6</f>
        <v>4.4321</v>
      </c>
      <c r="E6" s="9">
        <f aca="true" t="shared" si="14" ref="E6:E17">E$4*(1-$A6)-0.679*$A6</f>
        <v>4.1821</v>
      </c>
      <c r="F6" s="4">
        <f aca="true" t="shared" si="15" ref="F6:G17">(F$4/(1-$A6))/$Q6</f>
        <v>614.8532641245757</v>
      </c>
      <c r="G6" s="4">
        <f t="shared" si="15"/>
        <v>434.6376522259932</v>
      </c>
      <c r="H6" s="9">
        <f t="shared" si="0"/>
        <v>2.878804467957676</v>
      </c>
      <c r="I6" s="9">
        <f t="shared" si="1"/>
        <v>2.035016951487323</v>
      </c>
      <c r="J6" s="1">
        <f t="shared" si="2"/>
        <v>1.0662238770213615</v>
      </c>
      <c r="K6" s="1">
        <f t="shared" si="3"/>
        <v>0.7537099820323417</v>
      </c>
      <c r="L6" s="9">
        <f t="shared" si="4"/>
        <v>1.9320835355420642</v>
      </c>
      <c r="M6" s="9">
        <f t="shared" si="5"/>
        <v>1.3657831889176664</v>
      </c>
      <c r="N6" s="4">
        <f t="shared" si="6"/>
        <v>227.72343115725025</v>
      </c>
      <c r="O6" s="4">
        <f t="shared" si="7"/>
        <v>160.9769082318493</v>
      </c>
      <c r="P6" s="7">
        <f t="shared" si="8"/>
        <v>0.11111111111111112</v>
      </c>
      <c r="Q6" s="8">
        <f>1+($J$48/0.3)*P6</f>
        <v>1.0481272232684662</v>
      </c>
      <c r="R6" s="4">
        <f t="shared" si="9"/>
        <v>412.65319739904413</v>
      </c>
      <c r="S6" s="4">
        <f t="shared" si="10"/>
        <v>291.70312229932426</v>
      </c>
      <c r="T6" s="5">
        <v>0.1</v>
      </c>
    </row>
    <row r="7" spans="1:20" ht="12.75">
      <c r="A7" s="5">
        <v>0.15</v>
      </c>
      <c r="B7" s="9">
        <f t="shared" si="11"/>
        <v>4.384261111111111</v>
      </c>
      <c r="C7" s="9">
        <f t="shared" si="12"/>
        <v>4.378111111111111</v>
      </c>
      <c r="D7" s="9">
        <f t="shared" si="13"/>
        <v>4.14815</v>
      </c>
      <c r="E7" s="9">
        <f t="shared" si="14"/>
        <v>3.912038888888889</v>
      </c>
      <c r="F7" s="4">
        <f t="shared" si="15"/>
        <v>633.8993516517444</v>
      </c>
      <c r="G7" s="4">
        <f t="shared" si="15"/>
        <v>448.10126582278485</v>
      </c>
      <c r="H7" s="9">
        <f t="shared" si="0"/>
        <v>2.7791802758052895</v>
      </c>
      <c r="I7" s="9">
        <f t="shared" si="1"/>
        <v>1.9645929535864979</v>
      </c>
      <c r="J7" s="1">
        <f t="shared" si="2"/>
        <v>1.029326028076033</v>
      </c>
      <c r="K7" s="1">
        <f t="shared" si="3"/>
        <v>0.727627019846851</v>
      </c>
      <c r="L7" s="9">
        <f t="shared" si="4"/>
        <v>1.8652216616142883</v>
      </c>
      <c r="M7" s="9">
        <f t="shared" si="5"/>
        <v>1.3185187607963074</v>
      </c>
      <c r="N7" s="4">
        <f t="shared" si="6"/>
        <v>234.7775376487942</v>
      </c>
      <c r="O7" s="4">
        <f t="shared" si="7"/>
        <v>165.9634317862166</v>
      </c>
      <c r="P7" s="7">
        <f t="shared" si="8"/>
        <v>0.17647058823529413</v>
      </c>
      <c r="Q7" s="8">
        <f>1+($J$48/0.3)*P7</f>
        <v>1.076437354602858</v>
      </c>
      <c r="R7" s="4">
        <f t="shared" si="9"/>
        <v>425.4358064776808</v>
      </c>
      <c r="S7" s="4">
        <f t="shared" si="10"/>
        <v>300.73910457905026</v>
      </c>
      <c r="T7" s="5">
        <v>0.15</v>
      </c>
    </row>
    <row r="8" spans="1:20" ht="12.75">
      <c r="A8" s="5">
        <v>0.2</v>
      </c>
      <c r="B8" s="9">
        <f t="shared" si="11"/>
        <v>4.086422222222223</v>
      </c>
      <c r="C8" s="9">
        <f t="shared" si="12"/>
        <v>4.078222222222222</v>
      </c>
      <c r="D8" s="9">
        <f t="shared" si="13"/>
        <v>3.8642</v>
      </c>
      <c r="E8" s="9">
        <f t="shared" si="14"/>
        <v>3.641977777777778</v>
      </c>
      <c r="F8" s="4">
        <f t="shared" si="15"/>
        <v>654.1631265930332</v>
      </c>
      <c r="G8" s="4">
        <f t="shared" si="15"/>
        <v>462.42565845369586</v>
      </c>
      <c r="H8" s="9">
        <f t="shared" si="0"/>
        <v>2.67318673746814</v>
      </c>
      <c r="I8" s="9">
        <f t="shared" si="1"/>
        <v>1.8896664868309263</v>
      </c>
      <c r="J8" s="1">
        <f t="shared" si="2"/>
        <v>0.990069162025237</v>
      </c>
      <c r="K8" s="1">
        <f t="shared" si="3"/>
        <v>0.6998764766040467</v>
      </c>
      <c r="L8" s="9">
        <f t="shared" si="4"/>
        <v>1.7940850587034498</v>
      </c>
      <c r="M8" s="9">
        <f t="shared" si="5"/>
        <v>1.268232541497266</v>
      </c>
      <c r="N8" s="4">
        <f t="shared" si="6"/>
        <v>242.28263947890116</v>
      </c>
      <c r="O8" s="4">
        <f t="shared" si="7"/>
        <v>171.2687623902577</v>
      </c>
      <c r="P8" s="7">
        <f t="shared" si="8"/>
        <v>0.25</v>
      </c>
      <c r="Q8" s="8">
        <f>1+($J$48/0.3)*P8</f>
        <v>1.1082862523540489</v>
      </c>
      <c r="R8" s="4">
        <f t="shared" si="9"/>
        <v>439.03565543156594</v>
      </c>
      <c r="S8" s="4">
        <f t="shared" si="10"/>
        <v>310.3527909085207</v>
      </c>
      <c r="T8" s="5">
        <v>0.2</v>
      </c>
    </row>
    <row r="9" spans="1:20" ht="12.75">
      <c r="A9" s="5">
        <v>0.25</v>
      </c>
      <c r="B9" s="9">
        <f t="shared" si="11"/>
        <v>3.788583333333333</v>
      </c>
      <c r="C9" s="9">
        <f t="shared" si="12"/>
        <v>3.778333333333333</v>
      </c>
      <c r="D9" s="9">
        <f t="shared" si="13"/>
        <v>3.58025</v>
      </c>
      <c r="E9" s="9">
        <f t="shared" si="14"/>
        <v>3.371916666666667</v>
      </c>
      <c r="F9" s="4">
        <f t="shared" si="15"/>
        <v>684.4</v>
      </c>
      <c r="G9" s="4">
        <f t="shared" si="15"/>
        <v>483.79999999999995</v>
      </c>
      <c r="H9" s="9">
        <f t="shared" si="0"/>
        <v>2.592906433333333</v>
      </c>
      <c r="I9" s="9">
        <f t="shared" si="1"/>
        <v>1.8329166166666664</v>
      </c>
      <c r="J9" s="1">
        <f t="shared" si="2"/>
        <v>0.9603357160493825</v>
      </c>
      <c r="K9" s="1">
        <f t="shared" si="3"/>
        <v>0.6788580061728393</v>
      </c>
      <c r="L9" s="9">
        <f t="shared" si="4"/>
        <v>1.7402056599552571</v>
      </c>
      <c r="M9" s="9">
        <f t="shared" si="5"/>
        <v>1.230145380313199</v>
      </c>
      <c r="N9" s="4">
        <f t="shared" si="6"/>
        <v>253.48148148148147</v>
      </c>
      <c r="O9" s="4">
        <f t="shared" si="7"/>
        <v>179.18518518518516</v>
      </c>
      <c r="P9" s="7">
        <f t="shared" si="8"/>
        <v>0.3333333333333333</v>
      </c>
      <c r="Q9" s="8">
        <f aca="true" t="shared" si="16" ref="Q9:Q17">1+($J$48)</f>
        <v>1.1299435028248588</v>
      </c>
      <c r="R9" s="4">
        <f t="shared" si="9"/>
        <v>459.3288590604027</v>
      </c>
      <c r="S9" s="4">
        <f t="shared" si="10"/>
        <v>324.69798657718115</v>
      </c>
      <c r="T9" s="5">
        <v>0.25</v>
      </c>
    </row>
    <row r="10" spans="1:20" ht="12.75">
      <c r="A10" s="5">
        <v>0.3</v>
      </c>
      <c r="B10" s="9">
        <f t="shared" si="11"/>
        <v>3.490744444444444</v>
      </c>
      <c r="C10" s="9">
        <f t="shared" si="12"/>
        <v>3.478444444444444</v>
      </c>
      <c r="D10" s="9">
        <f t="shared" si="13"/>
        <v>3.2963</v>
      </c>
      <c r="E10" s="9">
        <f t="shared" si="14"/>
        <v>3.1018555555555554</v>
      </c>
      <c r="F10" s="4">
        <f t="shared" si="15"/>
        <v>733.2857142857143</v>
      </c>
      <c r="G10" s="4">
        <f t="shared" si="15"/>
        <v>518.3571428571429</v>
      </c>
      <c r="H10" s="9">
        <f t="shared" si="0"/>
        <v>2.5597130333333333</v>
      </c>
      <c r="I10" s="9">
        <f t="shared" si="1"/>
        <v>1.8094523166666665</v>
      </c>
      <c r="J10" s="1">
        <f t="shared" si="2"/>
        <v>0.9480418641975308</v>
      </c>
      <c r="K10" s="1">
        <f t="shared" si="3"/>
        <v>0.6701675246913579</v>
      </c>
      <c r="L10" s="9">
        <f t="shared" si="4"/>
        <v>1.7179282102908278</v>
      </c>
      <c r="M10" s="9">
        <f t="shared" si="5"/>
        <v>1.2143975279642056</v>
      </c>
      <c r="N10" s="4">
        <f t="shared" si="6"/>
        <v>271.58730158730157</v>
      </c>
      <c r="O10" s="4">
        <f t="shared" si="7"/>
        <v>191.984126984127</v>
      </c>
      <c r="P10" s="7">
        <f t="shared" si="8"/>
        <v>0.4285714285714286</v>
      </c>
      <c r="Q10" s="8">
        <f t="shared" si="16"/>
        <v>1.1299435028248588</v>
      </c>
      <c r="R10" s="4">
        <f t="shared" si="9"/>
        <v>492.1380632790029</v>
      </c>
      <c r="S10" s="4">
        <f t="shared" si="10"/>
        <v>347.89069990412276</v>
      </c>
      <c r="T10" s="5">
        <v>0.3</v>
      </c>
    </row>
    <row r="11" spans="1:20" ht="12.75">
      <c r="A11" s="5">
        <v>0.35</v>
      </c>
      <c r="B11" s="9">
        <f t="shared" si="11"/>
        <v>3.192905555555556</v>
      </c>
      <c r="C11" s="9">
        <f t="shared" si="12"/>
        <v>3.1785555555555556</v>
      </c>
      <c r="D11" s="9">
        <f t="shared" si="13"/>
        <v>3.01235</v>
      </c>
      <c r="E11" s="9">
        <f t="shared" si="14"/>
        <v>2.8317944444444447</v>
      </c>
      <c r="F11" s="4">
        <f t="shared" si="15"/>
        <v>789.6923076923076</v>
      </c>
      <c r="G11" s="4">
        <f t="shared" si="15"/>
        <v>558.2307692307692</v>
      </c>
      <c r="H11" s="9">
        <f t="shared" si="0"/>
        <v>2.5214129564102565</v>
      </c>
      <c r="I11" s="9">
        <f t="shared" si="1"/>
        <v>1.7823781243589745</v>
      </c>
      <c r="J11" s="1">
        <f t="shared" si="2"/>
        <v>0.9338566505223171</v>
      </c>
      <c r="K11" s="1">
        <f t="shared" si="3"/>
        <v>0.6601400460588794</v>
      </c>
      <c r="L11" s="9">
        <f t="shared" si="4"/>
        <v>1.6922234606780244</v>
      </c>
      <c r="M11" s="9">
        <f t="shared" si="5"/>
        <v>1.196226929099983</v>
      </c>
      <c r="N11" s="4">
        <f t="shared" si="6"/>
        <v>292.47863247863245</v>
      </c>
      <c r="O11" s="4">
        <f t="shared" si="7"/>
        <v>206.75213675213672</v>
      </c>
      <c r="P11" s="7">
        <f t="shared" si="8"/>
        <v>0.5384615384615384</v>
      </c>
      <c r="Q11" s="8">
        <f t="shared" si="16"/>
        <v>1.1299435028248588</v>
      </c>
      <c r="R11" s="4">
        <f t="shared" si="9"/>
        <v>529.9948373773876</v>
      </c>
      <c r="S11" s="4">
        <f t="shared" si="10"/>
        <v>374.6515229736706</v>
      </c>
      <c r="T11" s="5">
        <v>0.35</v>
      </c>
    </row>
    <row r="12" spans="1:20" ht="12.75">
      <c r="A12" s="5">
        <v>0.4</v>
      </c>
      <c r="B12" s="9">
        <f t="shared" si="11"/>
        <v>2.8950666666666667</v>
      </c>
      <c r="C12" s="9">
        <f t="shared" si="12"/>
        <v>2.8786666666666667</v>
      </c>
      <c r="D12" s="9">
        <f t="shared" si="13"/>
        <v>2.7284</v>
      </c>
      <c r="E12" s="9">
        <f t="shared" si="14"/>
        <v>2.5617333333333336</v>
      </c>
      <c r="F12" s="4">
        <f t="shared" si="15"/>
        <v>855.5</v>
      </c>
      <c r="G12" s="4">
        <f t="shared" si="15"/>
        <v>604.75</v>
      </c>
      <c r="H12" s="9">
        <f t="shared" si="0"/>
        <v>2.4767295333333332</v>
      </c>
      <c r="I12" s="9">
        <f t="shared" si="1"/>
        <v>1.7507915666666667</v>
      </c>
      <c r="J12" s="1">
        <f t="shared" si="2"/>
        <v>0.9173072345679011</v>
      </c>
      <c r="K12" s="1">
        <f t="shared" si="3"/>
        <v>0.6484413209876543</v>
      </c>
      <c r="L12" s="9">
        <f t="shared" si="4"/>
        <v>1.6622345861297538</v>
      </c>
      <c r="M12" s="9">
        <f t="shared" si="5"/>
        <v>1.1750278970917225</v>
      </c>
      <c r="N12" s="4">
        <f t="shared" si="6"/>
        <v>316.85185185185185</v>
      </c>
      <c r="O12" s="4">
        <f t="shared" si="7"/>
        <v>223.98148148148147</v>
      </c>
      <c r="P12" s="7">
        <f t="shared" si="8"/>
        <v>0.6666666666666667</v>
      </c>
      <c r="Q12" s="8">
        <f t="shared" si="16"/>
        <v>1.1299435028248588</v>
      </c>
      <c r="R12" s="4">
        <f t="shared" si="9"/>
        <v>574.1610738255033</v>
      </c>
      <c r="S12" s="4">
        <f t="shared" si="10"/>
        <v>405.8724832214765</v>
      </c>
      <c r="T12" s="5">
        <v>0.4</v>
      </c>
    </row>
    <row r="13" spans="1:20" ht="12.75">
      <c r="A13" s="5">
        <v>0.45</v>
      </c>
      <c r="B13" s="9">
        <f t="shared" si="11"/>
        <v>2.597227777777778</v>
      </c>
      <c r="C13" s="9">
        <f t="shared" si="12"/>
        <v>2.5787777777777783</v>
      </c>
      <c r="D13" s="9">
        <f t="shared" si="13"/>
        <v>2.44445</v>
      </c>
      <c r="E13" s="9">
        <f t="shared" si="14"/>
        <v>2.291672222222222</v>
      </c>
      <c r="F13" s="4">
        <f t="shared" si="15"/>
        <v>933.2727272727273</v>
      </c>
      <c r="G13" s="4">
        <f t="shared" si="15"/>
        <v>659.7272727272726</v>
      </c>
      <c r="H13" s="9">
        <f t="shared" si="0"/>
        <v>2.4239218515151517</v>
      </c>
      <c r="I13" s="9">
        <f t="shared" si="1"/>
        <v>1.7134619984848485</v>
      </c>
      <c r="J13" s="1">
        <f t="shared" si="2"/>
        <v>0.8977488338945006</v>
      </c>
      <c r="K13" s="1">
        <f t="shared" si="3"/>
        <v>0.6346155549943883</v>
      </c>
      <c r="L13" s="9">
        <f t="shared" si="4"/>
        <v>1.6267931889363434</v>
      </c>
      <c r="M13" s="9">
        <f t="shared" si="5"/>
        <v>1.1499744956274152</v>
      </c>
      <c r="N13" s="4">
        <f t="shared" si="6"/>
        <v>345.65656565656565</v>
      </c>
      <c r="O13" s="4">
        <f t="shared" si="7"/>
        <v>244.3434343434343</v>
      </c>
      <c r="P13" s="7">
        <f t="shared" si="8"/>
        <v>0.8181818181818181</v>
      </c>
      <c r="Q13" s="8">
        <f t="shared" si="16"/>
        <v>1.1299435028248588</v>
      </c>
      <c r="R13" s="4">
        <f t="shared" si="9"/>
        <v>626.3575350823672</v>
      </c>
      <c r="S13" s="4">
        <f t="shared" si="10"/>
        <v>442.76998169615615</v>
      </c>
      <c r="T13" s="5">
        <v>0.45</v>
      </c>
    </row>
    <row r="14" spans="1:20" s="16" customFormat="1" ht="12.75">
      <c r="A14" s="10">
        <v>0.5</v>
      </c>
      <c r="B14" s="11">
        <f t="shared" si="11"/>
        <v>2.2993888888888887</v>
      </c>
      <c r="C14" s="11">
        <f t="shared" si="12"/>
        <v>2.278888888888889</v>
      </c>
      <c r="D14" s="11">
        <f t="shared" si="13"/>
        <v>2.1605</v>
      </c>
      <c r="E14" s="11">
        <f t="shared" si="14"/>
        <v>2.021611111111111</v>
      </c>
      <c r="F14" s="12">
        <f t="shared" si="15"/>
        <v>1026.6</v>
      </c>
      <c r="G14" s="12">
        <f t="shared" si="15"/>
        <v>725.6999999999999</v>
      </c>
      <c r="H14" s="11">
        <f t="shared" si="0"/>
        <v>2.3605526333333327</v>
      </c>
      <c r="I14" s="11">
        <f t="shared" si="1"/>
        <v>1.6686665166666665</v>
      </c>
      <c r="J14" s="13">
        <f t="shared" si="2"/>
        <v>0.8742787530864194</v>
      </c>
      <c r="K14" s="13">
        <f t="shared" si="3"/>
        <v>0.618024635802469</v>
      </c>
      <c r="L14" s="11">
        <f t="shared" si="4"/>
        <v>1.58426351230425</v>
      </c>
      <c r="M14" s="11">
        <f t="shared" si="5"/>
        <v>1.119910413870246</v>
      </c>
      <c r="N14" s="12">
        <f t="shared" si="6"/>
        <v>380.2222222222222</v>
      </c>
      <c r="O14" s="12">
        <f t="shared" si="7"/>
        <v>268.7777777777777</v>
      </c>
      <c r="P14" s="14">
        <f t="shared" si="8"/>
        <v>1</v>
      </c>
      <c r="Q14" s="15">
        <f t="shared" si="16"/>
        <v>1.1299435028248588</v>
      </c>
      <c r="R14" s="12">
        <f t="shared" si="9"/>
        <v>688.9932885906039</v>
      </c>
      <c r="S14" s="12">
        <f t="shared" si="10"/>
        <v>487.0469798657718</v>
      </c>
      <c r="T14" s="10">
        <v>0.5</v>
      </c>
    </row>
    <row r="15" spans="1:20" ht="12.75">
      <c r="A15" s="5">
        <v>0.55</v>
      </c>
      <c r="B15" s="9">
        <f t="shared" si="11"/>
        <v>2.0015499999999995</v>
      </c>
      <c r="C15" s="9">
        <f t="shared" si="12"/>
        <v>1.9789999999999996</v>
      </c>
      <c r="D15" s="9">
        <f t="shared" si="13"/>
        <v>1.87655</v>
      </c>
      <c r="E15" s="9">
        <f t="shared" si="14"/>
        <v>1.75155</v>
      </c>
      <c r="F15" s="4">
        <f t="shared" si="15"/>
        <v>1140.6666666666667</v>
      </c>
      <c r="G15" s="4">
        <f t="shared" si="15"/>
        <v>806.3333333333334</v>
      </c>
      <c r="H15" s="9">
        <f t="shared" si="0"/>
        <v>2.283101366666666</v>
      </c>
      <c r="I15" s="9">
        <f t="shared" si="1"/>
        <v>1.613916483333333</v>
      </c>
      <c r="J15" s="1">
        <f t="shared" si="2"/>
        <v>0.8455930987654319</v>
      </c>
      <c r="K15" s="1">
        <f t="shared" si="3"/>
        <v>0.5977468456790122</v>
      </c>
      <c r="L15" s="9">
        <f t="shared" si="4"/>
        <v>1.5322827964205814</v>
      </c>
      <c r="M15" s="9">
        <f t="shared" si="5"/>
        <v>1.0831654250559282</v>
      </c>
      <c r="N15" s="4">
        <f t="shared" si="6"/>
        <v>422.4691358024691</v>
      </c>
      <c r="O15" s="4">
        <f t="shared" si="7"/>
        <v>298.641975308642</v>
      </c>
      <c r="P15" s="7">
        <f t="shared" si="8"/>
        <v>1.2222222222222225</v>
      </c>
      <c r="Q15" s="8">
        <f t="shared" si="16"/>
        <v>1.1299435028248588</v>
      </c>
      <c r="R15" s="4">
        <f t="shared" si="9"/>
        <v>765.5480984340045</v>
      </c>
      <c r="S15" s="4">
        <f t="shared" si="10"/>
        <v>541.1633109619687</v>
      </c>
      <c r="T15" s="5">
        <v>0.55</v>
      </c>
    </row>
    <row r="16" spans="1:20" ht="12.75">
      <c r="A16" s="5">
        <v>0.6</v>
      </c>
      <c r="B16" s="9">
        <f t="shared" si="11"/>
        <v>1.7037111111111112</v>
      </c>
      <c r="C16" s="9">
        <f t="shared" si="12"/>
        <v>1.6791111111111112</v>
      </c>
      <c r="D16" s="9">
        <f t="shared" si="13"/>
        <v>1.5926</v>
      </c>
      <c r="E16" s="9">
        <f t="shared" si="14"/>
        <v>1.481488888888889</v>
      </c>
      <c r="F16" s="4">
        <f t="shared" si="15"/>
        <v>1283.25</v>
      </c>
      <c r="G16" s="4">
        <f t="shared" si="15"/>
        <v>907.125</v>
      </c>
      <c r="H16" s="9">
        <f t="shared" si="0"/>
        <v>2.1862872833333338</v>
      </c>
      <c r="I16" s="9">
        <f t="shared" si="1"/>
        <v>1.5454789416666668</v>
      </c>
      <c r="J16" s="1">
        <f t="shared" si="2"/>
        <v>0.8097360308641977</v>
      </c>
      <c r="K16" s="1">
        <f t="shared" si="3"/>
        <v>0.5723996080246914</v>
      </c>
      <c r="L16" s="9">
        <f t="shared" si="4"/>
        <v>1.4673069015659959</v>
      </c>
      <c r="M16" s="9">
        <f t="shared" si="5"/>
        <v>1.0372341890380314</v>
      </c>
      <c r="N16" s="4">
        <f t="shared" si="6"/>
        <v>475.27777777777777</v>
      </c>
      <c r="O16" s="4">
        <f t="shared" si="7"/>
        <v>335.9722222222222</v>
      </c>
      <c r="P16" s="7">
        <f t="shared" si="8"/>
        <v>1.4999999999999998</v>
      </c>
      <c r="Q16" s="8">
        <f t="shared" si="16"/>
        <v>1.1299435028248588</v>
      </c>
      <c r="R16" s="4">
        <f t="shared" si="9"/>
        <v>861.2416107382551</v>
      </c>
      <c r="S16" s="4">
        <f t="shared" si="10"/>
        <v>608.8087248322148</v>
      </c>
      <c r="T16" s="5">
        <v>0.6</v>
      </c>
    </row>
    <row r="17" spans="1:20" ht="12.75">
      <c r="A17" s="5">
        <v>0.65</v>
      </c>
      <c r="B17" s="9">
        <f t="shared" si="11"/>
        <v>1.405872222222222</v>
      </c>
      <c r="C17" s="9">
        <f t="shared" si="12"/>
        <v>1.3792222222222221</v>
      </c>
      <c r="D17" s="9">
        <f t="shared" si="13"/>
        <v>1.30865</v>
      </c>
      <c r="E17" s="9">
        <f t="shared" si="14"/>
        <v>1.2114277777777778</v>
      </c>
      <c r="F17" s="4">
        <f t="shared" si="15"/>
        <v>1466.5714285714287</v>
      </c>
      <c r="G17" s="4">
        <f t="shared" si="15"/>
        <v>1036.7142857142858</v>
      </c>
      <c r="H17" s="9">
        <f t="shared" si="0"/>
        <v>2.061812033333333</v>
      </c>
      <c r="I17" s="9">
        <f t="shared" si="1"/>
        <v>1.4574878166666665</v>
      </c>
      <c r="J17" s="1">
        <f t="shared" si="2"/>
        <v>0.7636340864197529</v>
      </c>
      <c r="K17" s="1">
        <f t="shared" si="3"/>
        <v>0.5398103024691357</v>
      </c>
      <c r="L17" s="9">
        <f t="shared" si="4"/>
        <v>1.3837664653243846</v>
      </c>
      <c r="M17" s="9">
        <f t="shared" si="5"/>
        <v>0.9781797427293064</v>
      </c>
      <c r="N17" s="4">
        <f t="shared" si="6"/>
        <v>543.1746031746031</v>
      </c>
      <c r="O17" s="4">
        <f t="shared" si="7"/>
        <v>383.968253968254</v>
      </c>
      <c r="P17" s="7">
        <f t="shared" si="8"/>
        <v>1.8571428571428574</v>
      </c>
      <c r="Q17" s="8">
        <f t="shared" si="16"/>
        <v>1.1299435028248588</v>
      </c>
      <c r="R17" s="4">
        <f t="shared" si="9"/>
        <v>984.2761265580058</v>
      </c>
      <c r="S17" s="4">
        <f t="shared" si="10"/>
        <v>695.7813998082455</v>
      </c>
      <c r="T17" s="5">
        <v>0.65</v>
      </c>
    </row>
    <row r="18" spans="1:20" ht="12.75">
      <c r="A18" s="5"/>
      <c r="B18" s="9"/>
      <c r="C18" s="9"/>
      <c r="D18" s="9"/>
      <c r="E18" s="9"/>
      <c r="H18" s="9"/>
      <c r="I18" s="9"/>
      <c r="J18" s="1"/>
      <c r="K18" s="1"/>
      <c r="L18" s="9"/>
      <c r="M18" s="9"/>
      <c r="Q18" s="8"/>
      <c r="T18" s="5"/>
    </row>
    <row r="19" spans="1:20" ht="12.75">
      <c r="A19" s="5">
        <v>0.08</v>
      </c>
      <c r="B19" s="9">
        <f>B$4*(1-$A19)-0.679*$A19</f>
        <v>4.801235555555556</v>
      </c>
      <c r="C19" s="9">
        <f>C$4*(1-$A19)-(0.627+0.093)*$A19</f>
        <v>4.797955555555556</v>
      </c>
      <c r="D19" s="9"/>
      <c r="E19" s="9"/>
      <c r="H19" s="9"/>
      <c r="I19" s="9"/>
      <c r="J19" s="1"/>
      <c r="K19" s="1"/>
      <c r="L19" s="9"/>
      <c r="M19" s="9"/>
      <c r="Q19" s="8"/>
      <c r="T19" s="5"/>
    </row>
    <row r="20" spans="1:20" ht="12.75">
      <c r="A20" s="5">
        <v>0.12</v>
      </c>
      <c r="B20" s="9">
        <f>B$4*(1-$A20)-0.679*$A20</f>
        <v>4.562964444444445</v>
      </c>
      <c r="C20" s="9">
        <f>C$4*(1-$A20)-(0.627+0.093)*$A20</f>
        <v>4.558044444444445</v>
      </c>
      <c r="D20" s="9"/>
      <c r="E20" s="9"/>
      <c r="H20" s="9"/>
      <c r="I20" s="9"/>
      <c r="J20" s="1"/>
      <c r="K20" s="1"/>
      <c r="L20" s="9"/>
      <c r="M20" s="9"/>
      <c r="Q20" s="8"/>
      <c r="T20" s="5"/>
    </row>
    <row r="21" spans="2:17" ht="12.75">
      <c r="B21" s="9"/>
      <c r="C21" s="9"/>
      <c r="D21" s="9"/>
      <c r="E21" s="9"/>
      <c r="H21" s="9"/>
      <c r="I21" s="9"/>
      <c r="J21" s="1"/>
      <c r="K21" s="1"/>
      <c r="L21" s="9"/>
      <c r="M21" s="9"/>
      <c r="Q21" s="8"/>
    </row>
    <row r="45" spans="1:11" ht="12.75">
      <c r="A45" t="s">
        <v>22</v>
      </c>
      <c r="B45" t="s">
        <v>24</v>
      </c>
      <c r="D45" t="s">
        <v>26</v>
      </c>
      <c r="E45" t="s">
        <v>28</v>
      </c>
      <c r="F45" t="s">
        <v>27</v>
      </c>
      <c r="G45" t="s">
        <v>32</v>
      </c>
      <c r="H45" t="s">
        <v>37</v>
      </c>
      <c r="I45" t="s">
        <v>81</v>
      </c>
      <c r="J45" t="s">
        <v>58</v>
      </c>
      <c r="K45" t="s">
        <v>75</v>
      </c>
    </row>
    <row r="46" spans="1:9" ht="12.75">
      <c r="A46" t="s">
        <v>23</v>
      </c>
      <c r="B46" t="s">
        <v>25</v>
      </c>
      <c r="D46" t="s">
        <v>23</v>
      </c>
      <c r="E46" t="s">
        <v>25</v>
      </c>
      <c r="F46" t="s">
        <v>23</v>
      </c>
      <c r="G46" t="s">
        <v>31</v>
      </c>
      <c r="H46" t="s">
        <v>38</v>
      </c>
      <c r="I46" t="s">
        <v>38</v>
      </c>
    </row>
    <row r="48" spans="1:20" ht="12.75">
      <c r="A48" s="4">
        <f>'net CV in GJ'!A63</f>
        <v>2</v>
      </c>
      <c r="B48" s="1">
        <f>'net CV in GJ'!B63</f>
        <v>2.857142857142857</v>
      </c>
      <c r="C48" s="1"/>
      <c r="D48" s="4">
        <f>'net CV in GJ'!D63</f>
        <v>9</v>
      </c>
      <c r="E48" s="1">
        <f>'net CV in GJ'!E63</f>
        <v>12.857142857142858</v>
      </c>
      <c r="F48" s="4">
        <f>'net CV in GJ'!F63</f>
        <v>13</v>
      </c>
      <c r="G48" s="1">
        <f>'net CV in GJ'!G63</f>
        <v>17.333333333333332</v>
      </c>
      <c r="H48" s="9">
        <f>'net CV in GJ'!$H$63</f>
        <v>2.7</v>
      </c>
      <c r="I48" s="1">
        <f>'net CV in GJ'!I63</f>
        <v>1.49</v>
      </c>
      <c r="J48" s="7">
        <f>'net CV in GJ'!J63</f>
        <v>0.12994350282485875</v>
      </c>
      <c r="K48" s="7">
        <f>'net CV in GJ'!K63</f>
        <v>0.115</v>
      </c>
      <c r="T48" s="4"/>
    </row>
  </sheetData>
  <sheetProtection/>
  <printOptions/>
  <pageMargins left="0.3937007874015748" right="0.3937007874015748" top="0.3937007874015748" bottom="0.3937007874015748" header="0.7874015748031497" footer="0.7874015748031497"/>
  <pageSetup horizontalDpi="600" verticalDpi="600" orientation="landscape" pageOrder="overThenDown" paperSize="9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7" sqref="B27"/>
    </sheetView>
  </sheetViews>
  <sheetFormatPr defaultColWidth="8.8515625" defaultRowHeight="12.75"/>
  <cols>
    <col min="1" max="1" width="13.8515625" style="0" customWidth="1"/>
    <col min="2" max="2" width="13.140625" style="0" customWidth="1"/>
  </cols>
  <sheetData>
    <row r="1" spans="1:2" s="6" customFormat="1" ht="12.75">
      <c r="A1" s="6" t="s">
        <v>83</v>
      </c>
      <c r="B1" s="6" t="s">
        <v>83</v>
      </c>
    </row>
    <row r="2" spans="1:2" s="6" customFormat="1" ht="12.75">
      <c r="A2" s="6" t="s">
        <v>57</v>
      </c>
      <c r="B2" s="6" t="s">
        <v>51</v>
      </c>
    </row>
    <row r="3" spans="1:2" s="6" customFormat="1" ht="12.75">
      <c r="A3" s="6" t="s">
        <v>36</v>
      </c>
      <c r="B3" s="6" t="s">
        <v>36</v>
      </c>
    </row>
    <row r="4" spans="1:2" ht="12.75">
      <c r="A4" s="5">
        <v>0</v>
      </c>
      <c r="B4" s="5">
        <f>A4/(1+A4)</f>
        <v>0</v>
      </c>
    </row>
    <row r="5" spans="1:2" ht="12.75">
      <c r="A5" s="5">
        <v>0.1</v>
      </c>
      <c r="B5" s="5">
        <f aca="true" t="shared" si="0" ref="B5:B24">A5/(1+A5)</f>
        <v>0.09090909090909091</v>
      </c>
    </row>
    <row r="6" spans="1:2" ht="12.75">
      <c r="A6" s="5">
        <v>0.2</v>
      </c>
      <c r="B6" s="5">
        <f t="shared" si="0"/>
        <v>0.16666666666666669</v>
      </c>
    </row>
    <row r="7" spans="1:2" ht="12.75">
      <c r="A7" s="5">
        <v>0.30000000000000004</v>
      </c>
      <c r="B7" s="5">
        <f t="shared" si="0"/>
        <v>0.23076923076923078</v>
      </c>
    </row>
    <row r="8" spans="1:2" ht="12.75">
      <c r="A8" s="5">
        <v>0.4</v>
      </c>
      <c r="B8" s="5">
        <f t="shared" si="0"/>
        <v>0.28571428571428575</v>
      </c>
    </row>
    <row r="9" spans="1:2" ht="12.75">
      <c r="A9" s="5">
        <v>0.5</v>
      </c>
      <c r="B9" s="5">
        <f t="shared" si="0"/>
        <v>0.3333333333333333</v>
      </c>
    </row>
    <row r="10" spans="1:2" ht="12.75">
      <c r="A10" s="5">
        <v>0.6000000000000001</v>
      </c>
      <c r="B10" s="5">
        <f t="shared" si="0"/>
        <v>0.37500000000000006</v>
      </c>
    </row>
    <row r="11" spans="1:2" ht="12.75">
      <c r="A11" s="5">
        <v>0.7000000000000001</v>
      </c>
      <c r="B11" s="5">
        <f t="shared" si="0"/>
        <v>0.4117647058823529</v>
      </c>
    </row>
    <row r="12" spans="1:2" ht="12.75">
      <c r="A12" s="5">
        <v>0.8</v>
      </c>
      <c r="B12" s="5">
        <f t="shared" si="0"/>
        <v>0.4444444444444445</v>
      </c>
    </row>
    <row r="13" spans="1:2" ht="12.75">
      <c r="A13" s="5">
        <v>0.9</v>
      </c>
      <c r="B13" s="5">
        <f t="shared" si="0"/>
        <v>0.4736842105263158</v>
      </c>
    </row>
    <row r="14" spans="1:2" ht="12.75">
      <c r="A14" s="5">
        <v>1</v>
      </c>
      <c r="B14" s="5">
        <f t="shared" si="0"/>
        <v>0.5</v>
      </c>
    </row>
    <row r="15" spans="1:2" ht="12.75">
      <c r="A15" s="5">
        <v>1.1</v>
      </c>
      <c r="B15" s="5">
        <f t="shared" si="0"/>
        <v>0.5238095238095238</v>
      </c>
    </row>
    <row r="16" spans="1:2" ht="12.75">
      <c r="A16" s="5">
        <v>1.2000000000000002</v>
      </c>
      <c r="B16" s="5">
        <f t="shared" si="0"/>
        <v>0.5454545454545455</v>
      </c>
    </row>
    <row r="17" spans="1:2" ht="12.75">
      <c r="A17" s="5">
        <v>1.3</v>
      </c>
      <c r="B17" s="5">
        <f t="shared" si="0"/>
        <v>0.5652173913043479</v>
      </c>
    </row>
    <row r="18" spans="1:2" ht="12.75">
      <c r="A18" s="5">
        <v>1.4000000000000001</v>
      </c>
      <c r="B18" s="5">
        <f t="shared" si="0"/>
        <v>0.5833333333333333</v>
      </c>
    </row>
    <row r="19" spans="1:2" ht="12.75">
      <c r="A19" s="5">
        <v>1.5</v>
      </c>
      <c r="B19" s="5">
        <f t="shared" si="0"/>
        <v>0.6</v>
      </c>
    </row>
    <row r="20" spans="1:2" ht="12.75">
      <c r="A20" s="5">
        <v>1.6</v>
      </c>
      <c r="B20" s="5">
        <f t="shared" si="0"/>
        <v>0.6153846153846154</v>
      </c>
    </row>
    <row r="21" spans="1:2" ht="12.75">
      <c r="A21" s="5">
        <v>1.7000000000000002</v>
      </c>
      <c r="B21" s="5">
        <f t="shared" si="0"/>
        <v>0.6296296296296297</v>
      </c>
    </row>
    <row r="22" spans="1:2" ht="12.75">
      <c r="A22" s="5">
        <v>1.8</v>
      </c>
      <c r="B22" s="5">
        <f t="shared" si="0"/>
        <v>0.6428571428571429</v>
      </c>
    </row>
    <row r="23" spans="1:2" ht="12.75">
      <c r="A23" s="5">
        <v>1.9000000000000001</v>
      </c>
      <c r="B23" s="5">
        <f t="shared" si="0"/>
        <v>0.6551724137931034</v>
      </c>
    </row>
    <row r="24" spans="1:2" ht="12.75">
      <c r="A24" s="5">
        <v>2</v>
      </c>
      <c r="B24" s="5">
        <f t="shared" si="0"/>
        <v>0.6666666666666666</v>
      </c>
    </row>
    <row r="27" spans="1:2" ht="12.75">
      <c r="A27" s="5">
        <v>0.95</v>
      </c>
      <c r="B27" s="5">
        <f>A27/(1+A27)</f>
        <v>0.48717948717948717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Harrison</dc:creator>
  <cp:keywords/>
  <dc:description/>
  <cp:lastModifiedBy>steve luker</cp:lastModifiedBy>
  <cp:lastPrinted>2011-12-09T10:36:54Z</cp:lastPrinted>
  <dcterms:created xsi:type="dcterms:W3CDTF">2007-07-18T15:42:18Z</dcterms:created>
  <dcterms:modified xsi:type="dcterms:W3CDTF">2017-07-03T14:57:54Z</dcterms:modified>
  <cp:category/>
  <cp:version/>
  <cp:contentType/>
  <cp:contentStatus/>
</cp:coreProperties>
</file>